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6"/>
  </bookViews>
  <sheets>
    <sheet name="Lap Rugi Laba" sheetId="55" r:id="rId1"/>
    <sheet name="Desember" sheetId="56" r:id="rId2"/>
    <sheet name="Januari 2017" sheetId="57" r:id="rId3"/>
    <sheet name="fEBRUARI" sheetId="58" r:id="rId4"/>
    <sheet name="Maret" sheetId="59" r:id="rId5"/>
    <sheet name="Sheet4" sheetId="60" r:id="rId6"/>
    <sheet name="Sheet5" sheetId="61" r:id="rId7"/>
  </sheets>
  <externalReferences>
    <externalReference r:id="rId8"/>
  </externalReferences>
  <definedNames>
    <definedName name="_xlnm.Print_Area" localSheetId="1">Desember!$B$1:$G$64</definedName>
    <definedName name="_xlnm.Print_Area" localSheetId="0">'Lap Rugi Laba'!$B$1:$G$116</definedName>
  </definedNames>
  <calcPr calcId="144525"/>
</workbook>
</file>

<file path=xl/calcChain.xml><?xml version="1.0" encoding="utf-8"?>
<calcChain xmlns="http://schemas.openxmlformats.org/spreadsheetml/2006/main">
  <c r="E55" i="61" l="1"/>
  <c r="E48" i="61"/>
  <c r="G63" i="61"/>
  <c r="G54" i="60"/>
  <c r="E46" i="60"/>
  <c r="E45" i="60"/>
  <c r="E41" i="60"/>
  <c r="E38" i="60"/>
  <c r="E35" i="60"/>
  <c r="E33" i="60"/>
  <c r="E31" i="60"/>
  <c r="E30" i="60"/>
  <c r="E29" i="60"/>
  <c r="E26" i="60"/>
  <c r="E24" i="60"/>
  <c r="E19" i="60"/>
  <c r="E16" i="60"/>
  <c r="F20" i="60" s="1"/>
  <c r="G11" i="60"/>
  <c r="F47" i="60" l="1"/>
  <c r="G48" i="60" s="1"/>
  <c r="G49" i="60" s="1"/>
  <c r="G55" i="60" s="1"/>
  <c r="E30" i="59" l="1"/>
  <c r="E44" i="59"/>
  <c r="E24" i="59"/>
  <c r="E36" i="59"/>
  <c r="E33" i="59"/>
  <c r="E25" i="59"/>
  <c r="E50" i="59"/>
  <c r="E19" i="59"/>
  <c r="E31" i="59"/>
  <c r="E40" i="59"/>
  <c r="G63" i="59"/>
  <c r="F20" i="59"/>
  <c r="G11" i="59"/>
  <c r="E19" i="58"/>
  <c r="E50" i="58"/>
  <c r="E49" i="58"/>
  <c r="E51" i="58"/>
  <c r="E24" i="58"/>
  <c r="F27" i="58" s="1"/>
  <c r="E25" i="58"/>
  <c r="E31" i="58"/>
  <c r="E36" i="58"/>
  <c r="E37" i="58"/>
  <c r="E30" i="58"/>
  <c r="E44" i="58"/>
  <c r="E41" i="58"/>
  <c r="E54" i="58"/>
  <c r="E35" i="58"/>
  <c r="F20" i="58"/>
  <c r="E40" i="58"/>
  <c r="G63" i="58"/>
  <c r="G11" i="58"/>
  <c r="E19" i="57"/>
  <c r="E50" i="57"/>
  <c r="E51" i="57"/>
  <c r="E24" i="57"/>
  <c r="E36" i="57"/>
  <c r="E30" i="57"/>
  <c r="E33" i="57"/>
  <c r="E40" i="57"/>
  <c r="E44" i="57"/>
  <c r="E49" i="57"/>
  <c r="E38" i="57"/>
  <c r="E31" i="57"/>
  <c r="E25" i="57"/>
  <c r="E53" i="57"/>
  <c r="E37" i="57"/>
  <c r="E23" i="57"/>
  <c r="E54" i="57"/>
  <c r="E43" i="57"/>
  <c r="F27" i="59" l="1"/>
  <c r="F56" i="59"/>
  <c r="F56" i="58"/>
  <c r="G57" i="58" s="1"/>
  <c r="G58" i="58" s="1"/>
  <c r="G64" i="58" s="1"/>
  <c r="G57" i="59" l="1"/>
  <c r="G58" i="59" s="1"/>
  <c r="G64" i="59" s="1"/>
  <c r="G63" i="57"/>
  <c r="F56" i="57"/>
  <c r="F27" i="57"/>
  <c r="F20" i="57"/>
  <c r="G11" i="57"/>
  <c r="E51" i="56"/>
  <c r="E19" i="56"/>
  <c r="E19" i="61" s="1"/>
  <c r="E30" i="56"/>
  <c r="E30" i="61" s="1"/>
  <c r="F56" i="61" s="1"/>
  <c r="E53" i="56"/>
  <c r="E37" i="56"/>
  <c r="E50" i="56"/>
  <c r="E40" i="56"/>
  <c r="E31" i="56"/>
  <c r="E24" i="56"/>
  <c r="E24" i="61" s="1"/>
  <c r="E23" i="56"/>
  <c r="E23" i="61" s="1"/>
  <c r="E25" i="56"/>
  <c r="E25" i="61" s="1"/>
  <c r="E44" i="56"/>
  <c r="E36" i="56"/>
  <c r="E49" i="56"/>
  <c r="E38" i="56"/>
  <c r="E39" i="56"/>
  <c r="E43" i="56"/>
  <c r="E33" i="56"/>
  <c r="E54" i="56"/>
  <c r="E46" i="56"/>
  <c r="E16" i="56"/>
  <c r="E16" i="61" s="1"/>
  <c r="F20" i="61" s="1"/>
  <c r="F8" i="56"/>
  <c r="F27" i="61" l="1"/>
  <c r="G57" i="61" s="1"/>
  <c r="G58" i="61" s="1"/>
  <c r="G57" i="57"/>
  <c r="G58" i="57" s="1"/>
  <c r="G64" i="57" s="1"/>
  <c r="F27" i="56"/>
  <c r="F56" i="56"/>
  <c r="F20" i="56"/>
  <c r="G63" i="56" l="1"/>
  <c r="G57" i="56" l="1"/>
  <c r="G58" i="56" l="1"/>
  <c r="G11" i="56" l="1"/>
  <c r="G64" i="56" l="1"/>
  <c r="G7" i="61"/>
  <c r="G11" i="61" s="1"/>
  <c r="G64" i="61" s="1"/>
</calcChain>
</file>

<file path=xl/sharedStrings.xml><?xml version="1.0" encoding="utf-8"?>
<sst xmlns="http://schemas.openxmlformats.org/spreadsheetml/2006/main" count="544" uniqueCount="67">
  <si>
    <t>Air</t>
  </si>
  <si>
    <t>Listrik</t>
  </si>
  <si>
    <t>Telephon</t>
  </si>
  <si>
    <t>Laporan Laba Rugi</t>
  </si>
  <si>
    <t xml:space="preserve">Pendapatan Jasa       :    </t>
  </si>
  <si>
    <t>-</t>
  </si>
  <si>
    <t>Beban Usaha</t>
  </si>
  <si>
    <t>Beban Operasi                  :</t>
  </si>
  <si>
    <t>Total Beban Operasi</t>
  </si>
  <si>
    <t>Beban Umum dan Administrasi :</t>
  </si>
  <si>
    <t>Beban Gaji Karyawan</t>
  </si>
  <si>
    <t>Internet / WIFI</t>
  </si>
  <si>
    <t>Keperluan Kantor &amp; Perl. Kantor</t>
  </si>
  <si>
    <t>Fotocopy</t>
  </si>
  <si>
    <t>Pengobatan/Obat</t>
  </si>
  <si>
    <t>Keamanan &amp; Kebersihan</t>
  </si>
  <si>
    <t>Pemeliharaan &amp; Perbaikan Bangunan</t>
  </si>
  <si>
    <t>Pemeliharaan &amp; Perbaikan Inv. Kantor</t>
  </si>
  <si>
    <t>Entertainment &amp; Lain-lain</t>
  </si>
  <si>
    <t>Penyusutan Aktiva Tetap - Peralatan Kantor</t>
  </si>
  <si>
    <t>Total Beban Umum dan Administrasi</t>
  </si>
  <si>
    <t>Total Beban Usaha</t>
  </si>
  <si>
    <t>Laba ( Rugi ) Usaha</t>
  </si>
  <si>
    <t>Pendapatan Lain-lain</t>
  </si>
  <si>
    <t>Laba ( Rugi ) Bersih</t>
  </si>
  <si>
    <t>Total Pendapatan Lain-lain</t>
  </si>
  <si>
    <t>Pendapatan Lain - lain</t>
  </si>
  <si>
    <t>Pajak Bumi dan Bangunan</t>
  </si>
  <si>
    <t>Penjualan Suku Cadang (Stock)</t>
  </si>
  <si>
    <t>Penjualan Suku Cadang Persediaan (Biaya)</t>
  </si>
  <si>
    <t>Administrasi Bank</t>
  </si>
  <si>
    <t>Akumulasi Sewa Tanah dan Bangunan</t>
  </si>
  <si>
    <t xml:space="preserve"> </t>
  </si>
  <si>
    <t>PT.  Karunia  Samudera winara</t>
  </si>
  <si>
    <t xml:space="preserve">Pendapatan  </t>
  </si>
  <si>
    <t>Total Pendapatan Jasa</t>
  </si>
  <si>
    <t xml:space="preserve">Total Pendapatan </t>
  </si>
  <si>
    <t xml:space="preserve">Beban Pengurusan Izin Usaha </t>
  </si>
  <si>
    <t xml:space="preserve">Beban Penguruan Izin Galian A dan B </t>
  </si>
  <si>
    <t>Beban Pengurusan Izin Galian C</t>
  </si>
  <si>
    <t xml:space="preserve">Konsumsi </t>
  </si>
  <si>
    <t>Transportasi</t>
  </si>
  <si>
    <t xml:space="preserve">Beban Sewa Kendaraan </t>
  </si>
  <si>
    <t xml:space="preserve">Pemliharaan dan Perbaikan Kendaraan </t>
  </si>
  <si>
    <t xml:space="preserve">Beban Produksi </t>
  </si>
  <si>
    <t xml:space="preserve">Beban Sewa Bangunan </t>
  </si>
  <si>
    <t>Beban Sewa Alat Berat</t>
  </si>
  <si>
    <t xml:space="preserve">Beban CSR </t>
  </si>
  <si>
    <t>=</t>
  </si>
  <si>
    <t xml:space="preserve">Keperluan dan Peralatan Lapangan </t>
  </si>
  <si>
    <t>Untuk Periode 01 Desember s/d 31 Desember  2016</t>
  </si>
  <si>
    <t xml:space="preserve">Beban Operasional </t>
  </si>
  <si>
    <t xml:space="preserve">Pak. Jhony Ruslan </t>
  </si>
  <si>
    <t>Pak. Hadi Saputra</t>
  </si>
  <si>
    <t>Pak. Ahmad Syarif</t>
  </si>
  <si>
    <t xml:space="preserve">Total Beban Operasional </t>
  </si>
  <si>
    <t>Beban Bensin D.T</t>
  </si>
  <si>
    <t>Biaya Retribusi Dispenda</t>
  </si>
  <si>
    <t xml:space="preserve">Pak. Mafrizal </t>
  </si>
  <si>
    <t xml:space="preserve">Fee Tanah </t>
  </si>
  <si>
    <t>Untuk Periode 01 Januari /d 31 Januari 2017</t>
  </si>
  <si>
    <t xml:space="preserve">Fee  </t>
  </si>
  <si>
    <t>Untuk Periode 01 Februari /d 28 Februari 2017</t>
  </si>
  <si>
    <t>Untuk Periode 01 Maret  s/d 10 Maret 2017</t>
  </si>
  <si>
    <t>Untuk Periode 01 November s/d 30 November  2016</t>
  </si>
  <si>
    <t xml:space="preserve">PPH Pasal 4 Ayat 2 </t>
  </si>
  <si>
    <t>Untuk Periode 15 Juni 2018- 15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</si>
</sst>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_);_(* \(#,##0.00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lgerian"/>
      <family val="5"/>
    </font>
    <font>
      <b/>
      <sz val="14"/>
      <color theme="1"/>
      <name val="Calibri"/>
      <family val="2"/>
      <scheme val="minor"/>
    </font>
    <font>
      <b/>
      <u/>
      <sz val="11"/>
      <name val="Arial"/>
      <family val="2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9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/>
    <xf numFmtId="41" fontId="0" fillId="0" borderId="0" xfId="0" applyNumberFormat="1"/>
    <xf numFmtId="41" fontId="0" fillId="0" borderId="0" xfId="1" applyFont="1"/>
    <xf numFmtId="0" fontId="4" fillId="0" borderId="0" xfId="0" applyFont="1" applyBorder="1" applyAlignment="1">
      <alignment horizontal="left"/>
    </xf>
    <xf numFmtId="41" fontId="0" fillId="0" borderId="0" xfId="1" applyFont="1" applyBorder="1"/>
    <xf numFmtId="41" fontId="0" fillId="0" borderId="2" xfId="1" applyFont="1" applyBorder="1"/>
    <xf numFmtId="0" fontId="4" fillId="0" borderId="0" xfId="0" applyFont="1"/>
    <xf numFmtId="41" fontId="6" fillId="0" borderId="0" xfId="1" applyFont="1" applyBorder="1"/>
    <xf numFmtId="41" fontId="2" fillId="0" borderId="0" xfId="1" applyFont="1" applyBorder="1"/>
    <xf numFmtId="41" fontId="2" fillId="0" borderId="0" xfId="1" applyFont="1"/>
    <xf numFmtId="41" fontId="2" fillId="0" borderId="2" xfId="1" applyFont="1" applyBorder="1"/>
    <xf numFmtId="41" fontId="2" fillId="0" borderId="1" xfId="1" applyFont="1" applyBorder="1"/>
    <xf numFmtId="41" fontId="3" fillId="0" borderId="0" xfId="1" applyFont="1" applyBorder="1"/>
    <xf numFmtId="41" fontId="3" fillId="0" borderId="1" xfId="1" applyFont="1" applyBorder="1"/>
    <xf numFmtId="41" fontId="3" fillId="0" borderId="2" xfId="1" applyFont="1" applyBorder="1"/>
    <xf numFmtId="41" fontId="0" fillId="0" borderId="0" xfId="1" applyFont="1" applyAlignment="1">
      <alignment horizontal="right"/>
    </xf>
    <xf numFmtId="41" fontId="0" fillId="0" borderId="2" xfId="1" applyFont="1" applyBorder="1" applyAlignment="1">
      <alignment horizontal="right"/>
    </xf>
    <xf numFmtId="41" fontId="3" fillId="0" borderId="0" xfId="1" applyFont="1"/>
    <xf numFmtId="41" fontId="6" fillId="0" borderId="2" xfId="1" applyFont="1" applyBorder="1"/>
    <xf numFmtId="3" fontId="0" fillId="0" borderId="0" xfId="0" applyNumberFormat="1"/>
    <xf numFmtId="41" fontId="0" fillId="0" borderId="3" xfId="1" applyFont="1" applyBorder="1"/>
    <xf numFmtId="0" fontId="3" fillId="0" borderId="0" xfId="0" applyFont="1" applyBorder="1" applyAlignment="1">
      <alignment horizontal="left"/>
    </xf>
    <xf numFmtId="0" fontId="2" fillId="0" borderId="0" xfId="0" applyFont="1"/>
    <xf numFmtId="164" fontId="0" fillId="0" borderId="2" xfId="11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165" fontId="3" fillId="0" borderId="0" xfId="1" applyNumberFormat="1" applyFont="1" applyBorder="1"/>
    <xf numFmtId="166" fontId="6" fillId="0" borderId="2" xfId="1" applyNumberFormat="1" applyFont="1" applyBorder="1"/>
    <xf numFmtId="0" fontId="2" fillId="0" borderId="0" xfId="0" applyFont="1"/>
    <xf numFmtId="0" fontId="2" fillId="0" borderId="0" xfId="0" applyFont="1"/>
    <xf numFmtId="41" fontId="12" fillId="0" borderId="0" xfId="1" applyFont="1"/>
    <xf numFmtId="41" fontId="6" fillId="0" borderId="0" xfId="1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6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0" fontId="2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3" fillId="0" borderId="0" xfId="0" applyFont="1" applyBorder="1"/>
    <xf numFmtId="3" fontId="0" fillId="0" borderId="0" xfId="0" applyNumberFormat="1" applyBorder="1"/>
    <xf numFmtId="41" fontId="0" fillId="0" borderId="0" xfId="0" applyNumberFormat="1" applyBorder="1"/>
    <xf numFmtId="3" fontId="0" fillId="2" borderId="0" xfId="0" applyNumberFormat="1" applyFill="1" applyBorder="1"/>
    <xf numFmtId="164" fontId="0" fillId="0" borderId="0" xfId="11" applyNumberFormat="1" applyFont="1" applyBorder="1"/>
    <xf numFmtId="0" fontId="4" fillId="0" borderId="0" xfId="0" applyFont="1" applyBorder="1"/>
    <xf numFmtId="41" fontId="0" fillId="0" borderId="0" xfId="1" applyFont="1" applyBorder="1" applyAlignment="1">
      <alignment horizontal="right"/>
    </xf>
    <xf numFmtId="41" fontId="1" fillId="0" borderId="0" xfId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Border="1"/>
  </cellXfs>
  <cellStyles count="12">
    <cellStyle name="Comma" xfId="11" builtinId="3"/>
    <cellStyle name="Comma [0]" xfId="1" builtinId="6"/>
    <cellStyle name="Comma [0] 2" xfId="4"/>
    <cellStyle name="Comma [0] 3" xfId="7"/>
    <cellStyle name="Comma [0] 4" xfId="9"/>
    <cellStyle name="Comma 2" xfId="3"/>
    <cellStyle name="Comma 3" xfId="6"/>
    <cellStyle name="Comma 4" xfId="10"/>
    <cellStyle name="Normal" xfId="0" builtinId="0"/>
    <cellStyle name="Normal 2" xfId="2"/>
    <cellStyle name="Normal 3" xfId="5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\data%20amoy%20transkip\flash%20disk%20tri\CITRA\Kantor\Laporan%20Keuangan%20Neraca%20NOvember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raca Mar-Okt 2016"/>
    </sheetNames>
    <sheetDataSet>
      <sheetData sheetId="0">
        <row r="14">
          <cell r="E14">
            <v>2900000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9"/>
  <sheetViews>
    <sheetView topLeftCell="B1" workbookViewId="0">
      <selection activeCell="F14" sqref="F14"/>
    </sheetView>
  </sheetViews>
  <sheetFormatPr defaultRowHeight="15" x14ac:dyDescent="0.25"/>
  <cols>
    <col min="1" max="1" width="4.140625" style="46" customWidth="1"/>
    <col min="2" max="2" width="2.42578125" style="46" customWidth="1"/>
    <col min="3" max="3" width="9.140625" style="46"/>
    <col min="4" max="4" width="35.85546875" style="46" customWidth="1"/>
    <col min="5" max="5" width="11.5703125" style="46" bestFit="1" customWidth="1"/>
    <col min="6" max="6" width="14.28515625" style="46" customWidth="1"/>
    <col min="7" max="7" width="15.140625" style="46" customWidth="1"/>
    <col min="8" max="8" width="11.5703125" style="46" bestFit="1" customWidth="1"/>
    <col min="9" max="9" width="12" style="46" customWidth="1"/>
    <col min="10" max="10" width="11.5703125" style="46" bestFit="1" customWidth="1"/>
    <col min="11" max="11" width="12.5703125" style="46" bestFit="1" customWidth="1"/>
    <col min="12" max="16384" width="9.140625" style="46"/>
  </cols>
  <sheetData>
    <row r="1" spans="2:11" ht="17.25" x14ac:dyDescent="0.3">
      <c r="B1" s="44"/>
      <c r="C1" s="45"/>
      <c r="D1" s="45"/>
    </row>
    <row r="2" spans="2:11" ht="17.25" x14ac:dyDescent="0.3">
      <c r="B2" s="44"/>
      <c r="C2" s="45"/>
      <c r="D2" s="45"/>
    </row>
    <row r="3" spans="2:11" x14ac:dyDescent="0.25">
      <c r="B3" s="47"/>
    </row>
    <row r="5" spans="2:11" ht="18.75" x14ac:dyDescent="0.3">
      <c r="B5" s="48"/>
    </row>
    <row r="6" spans="2:11" x14ac:dyDescent="0.25">
      <c r="B6" s="49"/>
    </row>
    <row r="7" spans="2:11" x14ac:dyDescent="0.25">
      <c r="B7" s="50"/>
    </row>
    <row r="8" spans="2:11" x14ac:dyDescent="0.25">
      <c r="B8" s="47"/>
      <c r="C8" s="58"/>
      <c r="D8" s="58"/>
      <c r="E8" s="9"/>
      <c r="F8" s="9"/>
      <c r="G8" s="9"/>
      <c r="H8" s="9"/>
      <c r="I8" s="51"/>
      <c r="J8" s="51"/>
      <c r="K8" s="52"/>
    </row>
    <row r="9" spans="2:11" x14ac:dyDescent="0.25">
      <c r="B9" s="47"/>
      <c r="C9" s="43"/>
      <c r="D9" s="43"/>
      <c r="E9" s="9"/>
      <c r="F9" s="9"/>
      <c r="G9" s="9"/>
      <c r="H9" s="9"/>
      <c r="I9" s="51"/>
      <c r="J9" s="51"/>
      <c r="K9" s="52"/>
    </row>
    <row r="10" spans="2:11" x14ac:dyDescent="0.25">
      <c r="B10" s="47"/>
      <c r="C10" s="58"/>
      <c r="D10" s="58"/>
      <c r="E10" s="9"/>
      <c r="F10" s="9"/>
      <c r="G10" s="9"/>
      <c r="H10" s="9"/>
      <c r="I10" s="51"/>
      <c r="J10" s="51"/>
    </row>
    <row r="11" spans="2:11" x14ac:dyDescent="0.25">
      <c r="B11" s="47"/>
      <c r="C11" s="59"/>
      <c r="D11" s="59"/>
      <c r="E11" s="9"/>
      <c r="F11" s="9"/>
      <c r="G11" s="9"/>
      <c r="H11" s="9"/>
      <c r="I11" s="51"/>
      <c r="J11" s="51"/>
    </row>
    <row r="12" spans="2:11" x14ac:dyDescent="0.25">
      <c r="B12" s="47"/>
      <c r="C12" s="58"/>
      <c r="D12" s="58"/>
      <c r="E12" s="9"/>
      <c r="F12" s="9"/>
      <c r="G12" s="9"/>
      <c r="H12" s="9"/>
      <c r="I12" s="53"/>
      <c r="J12" s="51"/>
    </row>
    <row r="13" spans="2:11" x14ac:dyDescent="0.25">
      <c r="B13" s="47"/>
      <c r="C13" s="58"/>
      <c r="D13" s="58"/>
      <c r="E13" s="9"/>
      <c r="F13" s="9"/>
      <c r="G13" s="9"/>
      <c r="H13" s="9"/>
      <c r="I13" s="53"/>
      <c r="J13" s="51"/>
    </row>
    <row r="14" spans="2:11" x14ac:dyDescent="0.25">
      <c r="B14" s="47"/>
      <c r="C14" s="58"/>
      <c r="D14" s="58"/>
      <c r="E14" s="9"/>
      <c r="F14" s="25"/>
      <c r="G14" s="9"/>
      <c r="H14" s="9"/>
      <c r="I14" s="53"/>
      <c r="J14" s="51"/>
    </row>
    <row r="15" spans="2:11" x14ac:dyDescent="0.25">
      <c r="B15" s="50"/>
      <c r="C15" s="8"/>
      <c r="D15" s="41"/>
      <c r="E15" s="9"/>
      <c r="F15" s="9"/>
      <c r="G15" s="9"/>
      <c r="H15" s="9"/>
      <c r="I15" s="9"/>
      <c r="J15" s="51"/>
    </row>
    <row r="16" spans="2:11" x14ac:dyDescent="0.25">
      <c r="B16" s="50"/>
      <c r="C16" s="8"/>
      <c r="D16" s="41"/>
      <c r="E16" s="9"/>
      <c r="F16" s="54"/>
      <c r="G16" s="9"/>
      <c r="H16" s="9"/>
      <c r="I16" s="51"/>
      <c r="J16" s="51"/>
    </row>
    <row r="17" spans="2:11" x14ac:dyDescent="0.25">
      <c r="B17" s="50"/>
      <c r="C17" s="8"/>
      <c r="D17" s="41"/>
      <c r="E17" s="9"/>
      <c r="F17" s="9"/>
      <c r="G17" s="9"/>
      <c r="H17" s="9"/>
      <c r="I17" s="51"/>
      <c r="J17" s="51"/>
    </row>
    <row r="18" spans="2:11" ht="15.75" thickBot="1" x14ac:dyDescent="0.3">
      <c r="B18" s="50"/>
      <c r="C18" s="41"/>
      <c r="D18" s="41"/>
      <c r="E18" s="9"/>
      <c r="F18" s="28"/>
      <c r="G18" s="9"/>
      <c r="H18" s="9"/>
      <c r="J18" s="52"/>
    </row>
    <row r="19" spans="2:11" x14ac:dyDescent="0.25">
      <c r="B19" s="55"/>
      <c r="C19" s="41"/>
      <c r="D19" s="41"/>
      <c r="E19" s="9"/>
      <c r="F19" s="9"/>
      <c r="G19" s="12"/>
      <c r="H19" s="9"/>
      <c r="K19" s="52"/>
    </row>
    <row r="20" spans="2:11" x14ac:dyDescent="0.25">
      <c r="B20" s="50"/>
      <c r="C20" s="60"/>
      <c r="D20" s="60"/>
      <c r="E20" s="9"/>
      <c r="F20" s="9"/>
      <c r="G20" s="9"/>
      <c r="H20" s="9"/>
    </row>
    <row r="21" spans="2:11" x14ac:dyDescent="0.25">
      <c r="B21" s="50"/>
      <c r="C21" s="41"/>
      <c r="D21" s="41"/>
      <c r="E21" s="9"/>
      <c r="F21" s="9"/>
      <c r="G21" s="9"/>
      <c r="H21" s="9"/>
    </row>
    <row r="22" spans="2:11" x14ac:dyDescent="0.25">
      <c r="B22" s="49"/>
      <c r="C22" s="41"/>
      <c r="D22" s="41"/>
      <c r="E22" s="9"/>
      <c r="F22" s="9"/>
      <c r="G22" s="9"/>
      <c r="H22" s="9"/>
    </row>
    <row r="23" spans="2:11" x14ac:dyDescent="0.25">
      <c r="B23" s="50"/>
      <c r="C23" s="41"/>
      <c r="D23" s="41"/>
      <c r="E23" s="9"/>
      <c r="F23" s="9"/>
      <c r="G23" s="9"/>
      <c r="H23" s="9"/>
    </row>
    <row r="24" spans="2:11" x14ac:dyDescent="0.25">
      <c r="B24" s="47"/>
      <c r="C24" s="58"/>
      <c r="D24" s="58"/>
      <c r="E24" s="9"/>
      <c r="F24" s="9"/>
      <c r="G24" s="9"/>
      <c r="H24" s="9"/>
      <c r="I24" s="52"/>
    </row>
    <row r="25" spans="2:11" x14ac:dyDescent="0.25">
      <c r="B25" s="47"/>
      <c r="C25" s="43"/>
      <c r="D25" s="43"/>
      <c r="E25" s="9"/>
      <c r="F25" s="9"/>
      <c r="G25" s="9"/>
      <c r="H25" s="9"/>
      <c r="I25" s="52"/>
    </row>
    <row r="26" spans="2:11" x14ac:dyDescent="0.25">
      <c r="B26" s="47"/>
      <c r="C26" s="58"/>
      <c r="D26" s="58"/>
      <c r="E26" s="9"/>
      <c r="F26" s="9"/>
      <c r="G26" s="9"/>
      <c r="H26" s="9"/>
      <c r="I26" s="52"/>
    </row>
    <row r="27" spans="2:11" x14ac:dyDescent="0.25">
      <c r="B27" s="47"/>
      <c r="C27" s="59"/>
      <c r="D27" s="59"/>
      <c r="E27" s="9"/>
      <c r="F27" s="9"/>
      <c r="G27" s="9"/>
      <c r="H27" s="9"/>
      <c r="I27" s="52"/>
    </row>
    <row r="28" spans="2:11" x14ac:dyDescent="0.25">
      <c r="B28" s="47"/>
      <c r="C28" s="58"/>
      <c r="D28" s="58"/>
      <c r="E28" s="9"/>
      <c r="F28" s="9"/>
      <c r="G28" s="9"/>
      <c r="H28" s="9"/>
      <c r="I28" s="52"/>
    </row>
    <row r="29" spans="2:11" x14ac:dyDescent="0.25">
      <c r="B29" s="47"/>
      <c r="C29" s="58"/>
      <c r="D29" s="58"/>
      <c r="E29" s="9"/>
      <c r="F29" s="9"/>
      <c r="G29" s="9"/>
      <c r="H29" s="9"/>
      <c r="I29" s="52"/>
    </row>
    <row r="30" spans="2:11" ht="15.75" thickBot="1" x14ac:dyDescent="0.3">
      <c r="B30" s="47"/>
      <c r="C30" s="58"/>
      <c r="D30" s="58"/>
      <c r="E30" s="10"/>
      <c r="F30" s="9"/>
      <c r="G30" s="9"/>
      <c r="H30" s="9"/>
      <c r="I30" s="52"/>
    </row>
    <row r="31" spans="2:11" x14ac:dyDescent="0.25">
      <c r="B31" s="50"/>
      <c r="C31" s="41"/>
      <c r="D31" s="41"/>
      <c r="E31" s="9"/>
      <c r="F31" s="9"/>
      <c r="G31" s="9"/>
      <c r="H31" s="9"/>
      <c r="I31" s="52"/>
      <c r="J31" s="52"/>
      <c r="K31" s="52"/>
    </row>
    <row r="32" spans="2:11" x14ac:dyDescent="0.25">
      <c r="B32" s="50"/>
      <c r="C32" s="41"/>
      <c r="D32" s="41"/>
      <c r="E32" s="9"/>
      <c r="F32" s="9"/>
      <c r="G32" s="9"/>
      <c r="H32" s="9"/>
    </row>
    <row r="33" spans="2:8" x14ac:dyDescent="0.25">
      <c r="B33" s="47"/>
      <c r="C33" s="60"/>
      <c r="D33" s="60"/>
      <c r="E33" s="9"/>
      <c r="F33" s="9"/>
      <c r="G33" s="9"/>
      <c r="H33" s="9"/>
    </row>
    <row r="34" spans="2:8" ht="15.75" thickBot="1" x14ac:dyDescent="0.3">
      <c r="B34" s="47"/>
      <c r="C34" s="60"/>
      <c r="D34" s="60"/>
      <c r="E34" s="10"/>
      <c r="F34" s="9"/>
      <c r="G34" s="9"/>
      <c r="H34" s="9"/>
    </row>
    <row r="35" spans="2:8" x14ac:dyDescent="0.25">
      <c r="B35" s="50"/>
      <c r="C35" s="41"/>
      <c r="D35" s="41"/>
      <c r="E35" s="9"/>
      <c r="F35" s="9"/>
      <c r="G35" s="9"/>
      <c r="H35" s="9"/>
    </row>
    <row r="36" spans="2:8" x14ac:dyDescent="0.25">
      <c r="C36" s="60"/>
      <c r="D36" s="60"/>
      <c r="E36" s="9"/>
      <c r="F36" s="9"/>
      <c r="G36" s="9"/>
      <c r="H36" s="9"/>
    </row>
    <row r="37" spans="2:8" ht="15.75" thickBot="1" x14ac:dyDescent="0.3">
      <c r="C37" s="41"/>
      <c r="D37" s="41"/>
      <c r="E37" s="10"/>
      <c r="F37" s="9"/>
      <c r="G37" s="9"/>
      <c r="H37" s="9"/>
    </row>
    <row r="38" spans="2:8" x14ac:dyDescent="0.25">
      <c r="C38" s="41"/>
      <c r="D38" s="41"/>
      <c r="E38" s="9"/>
      <c r="F38" s="9"/>
      <c r="G38" s="9"/>
      <c r="H38" s="9"/>
    </row>
    <row r="39" spans="2:8" x14ac:dyDescent="0.25">
      <c r="C39" s="41"/>
      <c r="D39" s="41"/>
      <c r="E39" s="9"/>
      <c r="F39" s="9"/>
      <c r="G39" s="9"/>
      <c r="H39" s="9"/>
    </row>
    <row r="40" spans="2:8" x14ac:dyDescent="0.25">
      <c r="B40" s="50"/>
      <c r="C40" s="41"/>
      <c r="D40" s="41"/>
      <c r="E40" s="9"/>
      <c r="F40" s="9"/>
      <c r="G40" s="9"/>
      <c r="H40" s="9"/>
    </row>
    <row r="41" spans="2:8" x14ac:dyDescent="0.25">
      <c r="B41" s="47"/>
      <c r="C41" s="58"/>
      <c r="D41" s="58"/>
      <c r="E41" s="9"/>
      <c r="F41" s="9"/>
      <c r="G41" s="9"/>
      <c r="H41" s="9"/>
    </row>
    <row r="42" spans="2:8" x14ac:dyDescent="0.25">
      <c r="B42" s="47"/>
      <c r="C42" s="58"/>
      <c r="D42" s="58"/>
      <c r="E42" s="9"/>
      <c r="F42" s="9"/>
      <c r="G42" s="9"/>
      <c r="H42" s="9"/>
    </row>
    <row r="43" spans="2:8" x14ac:dyDescent="0.25">
      <c r="B43" s="47"/>
      <c r="C43" s="59"/>
      <c r="D43" s="59"/>
      <c r="E43" s="9"/>
      <c r="F43" s="9"/>
      <c r="G43" s="9"/>
      <c r="H43" s="9"/>
    </row>
    <row r="44" spans="2:8" x14ac:dyDescent="0.25">
      <c r="B44" s="47"/>
      <c r="C44" s="58"/>
      <c r="D44" s="58"/>
      <c r="E44" s="9"/>
      <c r="F44" s="9"/>
      <c r="G44" s="9"/>
      <c r="H44" s="9"/>
    </row>
    <row r="45" spans="2:8" x14ac:dyDescent="0.25">
      <c r="B45" s="47"/>
      <c r="C45" s="58"/>
      <c r="D45" s="58"/>
      <c r="E45" s="9"/>
      <c r="F45" s="9"/>
      <c r="G45" s="9"/>
      <c r="H45" s="9"/>
    </row>
    <row r="46" spans="2:8" x14ac:dyDescent="0.25">
      <c r="B46" s="47"/>
      <c r="C46" s="58"/>
      <c r="D46" s="58"/>
      <c r="E46" s="9"/>
      <c r="F46" s="9"/>
      <c r="G46" s="9"/>
      <c r="H46" s="9"/>
    </row>
    <row r="47" spans="2:8" ht="15.75" thickBot="1" x14ac:dyDescent="0.3">
      <c r="B47" s="47"/>
      <c r="C47" s="58"/>
      <c r="D47" s="58"/>
      <c r="E47" s="10"/>
      <c r="F47" s="9"/>
      <c r="G47" s="9"/>
      <c r="H47" s="9"/>
    </row>
    <row r="48" spans="2:8" x14ac:dyDescent="0.25">
      <c r="B48" s="50"/>
      <c r="C48" s="41"/>
      <c r="D48" s="41"/>
      <c r="E48" s="9"/>
      <c r="F48" s="9"/>
      <c r="G48" s="9"/>
      <c r="H48" s="9"/>
    </row>
    <row r="49" spans="2:14" x14ac:dyDescent="0.25">
      <c r="C49" s="60"/>
      <c r="D49" s="60"/>
      <c r="E49" s="9"/>
      <c r="F49" s="9"/>
      <c r="G49" s="9"/>
      <c r="H49" s="9"/>
    </row>
    <row r="50" spans="2:14" x14ac:dyDescent="0.25">
      <c r="B50" s="50"/>
      <c r="C50" s="41"/>
      <c r="D50" s="41"/>
      <c r="E50" s="9"/>
      <c r="F50" s="9"/>
      <c r="G50" s="9"/>
      <c r="H50" s="9"/>
    </row>
    <row r="51" spans="2:14" x14ac:dyDescent="0.25">
      <c r="B51" s="47"/>
      <c r="C51" s="43"/>
      <c r="D51" s="43"/>
      <c r="E51" s="13"/>
      <c r="F51" s="13"/>
      <c r="G51" s="13"/>
      <c r="H51" s="13"/>
      <c r="J51" s="47"/>
    </row>
    <row r="52" spans="2:14" ht="15.75" thickBot="1" x14ac:dyDescent="0.3">
      <c r="B52" s="47"/>
      <c r="C52" s="43"/>
      <c r="D52" s="43"/>
      <c r="E52" s="15"/>
      <c r="F52" s="13"/>
      <c r="G52" s="13"/>
      <c r="I52" s="47"/>
      <c r="J52" s="47"/>
    </row>
    <row r="53" spans="2:14" x14ac:dyDescent="0.25">
      <c r="B53" s="47"/>
      <c r="C53" s="43"/>
      <c r="D53" s="43"/>
      <c r="E53" s="16"/>
      <c r="F53" s="13"/>
      <c r="G53" s="13"/>
      <c r="H53" s="13"/>
      <c r="I53" s="47"/>
      <c r="J53" s="47"/>
      <c r="K53" s="47"/>
      <c r="L53" s="47"/>
      <c r="M53" s="47"/>
      <c r="N53" s="47"/>
    </row>
    <row r="54" spans="2:14" ht="15.75" thickBot="1" x14ac:dyDescent="0.3">
      <c r="B54" s="47"/>
      <c r="C54" s="43"/>
      <c r="D54" s="43"/>
      <c r="E54" s="15"/>
      <c r="F54" s="13"/>
      <c r="G54" s="13"/>
      <c r="H54" s="13"/>
      <c r="I54" s="47"/>
      <c r="J54" s="47"/>
      <c r="K54" s="47"/>
      <c r="L54" s="47"/>
      <c r="M54" s="47"/>
      <c r="N54" s="47"/>
    </row>
    <row r="55" spans="2:14" x14ac:dyDescent="0.25">
      <c r="B55" s="47"/>
      <c r="C55" s="43"/>
      <c r="D55" s="43"/>
      <c r="E55" s="13"/>
      <c r="F55" s="13"/>
      <c r="G55" s="13"/>
      <c r="H55" s="13"/>
      <c r="I55" s="47"/>
      <c r="J55" s="47"/>
      <c r="K55" s="47"/>
      <c r="L55" s="47"/>
      <c r="M55" s="47"/>
      <c r="N55" s="47"/>
    </row>
    <row r="56" spans="2:14" x14ac:dyDescent="0.25">
      <c r="B56" s="47"/>
      <c r="C56" s="43"/>
      <c r="D56" s="43"/>
      <c r="E56" s="13"/>
      <c r="F56" s="13"/>
      <c r="G56" s="13"/>
      <c r="H56" s="13"/>
      <c r="I56" s="47"/>
      <c r="J56" s="47"/>
      <c r="K56" s="47"/>
      <c r="L56" s="47"/>
      <c r="M56" s="47"/>
      <c r="N56" s="47"/>
    </row>
    <row r="57" spans="2:14" x14ac:dyDescent="0.25">
      <c r="B57" s="50"/>
      <c r="C57" s="43"/>
      <c r="D57" s="43"/>
      <c r="E57" s="13"/>
      <c r="F57" s="13"/>
      <c r="G57" s="13"/>
      <c r="H57" s="13"/>
      <c r="I57" s="47"/>
      <c r="J57" s="47"/>
      <c r="K57" s="47"/>
      <c r="L57" s="47"/>
      <c r="M57" s="47"/>
      <c r="N57" s="47"/>
    </row>
    <row r="58" spans="2:14" x14ac:dyDescent="0.25">
      <c r="B58" s="47"/>
      <c r="C58" s="43"/>
      <c r="D58" s="43"/>
      <c r="E58" s="13"/>
      <c r="F58" s="13"/>
      <c r="G58" s="13"/>
      <c r="H58" s="13"/>
      <c r="I58" s="47"/>
      <c r="J58" s="47"/>
      <c r="K58" s="47"/>
      <c r="L58" s="47"/>
      <c r="M58" s="47"/>
      <c r="N58" s="47"/>
    </row>
    <row r="59" spans="2:14" ht="15.75" thickBot="1" x14ac:dyDescent="0.3">
      <c r="B59" s="47"/>
      <c r="C59" s="43"/>
      <c r="D59" s="43"/>
      <c r="E59" s="15"/>
      <c r="F59" s="13"/>
      <c r="G59" s="13"/>
      <c r="H59" s="13"/>
      <c r="I59" s="47"/>
      <c r="J59" s="47"/>
      <c r="K59" s="47"/>
      <c r="L59" s="47"/>
      <c r="M59" s="47"/>
      <c r="N59" s="47"/>
    </row>
    <row r="60" spans="2:14" x14ac:dyDescent="0.25">
      <c r="B60" s="47"/>
      <c r="C60" s="43"/>
      <c r="D60" s="43"/>
      <c r="E60" s="13"/>
      <c r="F60" s="13"/>
      <c r="G60" s="13"/>
      <c r="H60" s="13"/>
      <c r="I60" s="47"/>
      <c r="J60" s="47"/>
      <c r="K60" s="47"/>
      <c r="L60" s="47"/>
      <c r="M60" s="47"/>
      <c r="N60" s="47"/>
    </row>
    <row r="61" spans="2:14" ht="15.75" thickBot="1" x14ac:dyDescent="0.3">
      <c r="B61" s="47"/>
      <c r="C61" s="43"/>
      <c r="D61" s="43"/>
      <c r="E61" s="15"/>
      <c r="F61" s="13"/>
      <c r="G61" s="13"/>
      <c r="H61" s="13"/>
      <c r="I61" s="47"/>
      <c r="J61" s="47"/>
      <c r="K61" s="47"/>
      <c r="L61" s="47"/>
      <c r="M61" s="47"/>
      <c r="N61" s="47"/>
    </row>
    <row r="62" spans="2:14" ht="15.75" thickBot="1" x14ac:dyDescent="0.3">
      <c r="B62" s="47"/>
      <c r="C62" s="43"/>
      <c r="D62" s="43"/>
      <c r="E62" s="13"/>
      <c r="F62" s="15"/>
      <c r="G62" s="13"/>
      <c r="H62" s="13"/>
      <c r="I62" s="47"/>
      <c r="J62" s="47"/>
      <c r="K62" s="47"/>
      <c r="L62" s="47"/>
      <c r="M62" s="47"/>
      <c r="N62" s="47"/>
    </row>
    <row r="63" spans="2:14" x14ac:dyDescent="0.25">
      <c r="B63" s="55"/>
      <c r="C63" s="43"/>
      <c r="D63" s="43"/>
      <c r="E63" s="13"/>
      <c r="F63" s="13"/>
      <c r="G63" s="17"/>
      <c r="H63" s="13"/>
      <c r="I63" s="47"/>
      <c r="J63" s="47"/>
      <c r="K63" s="47"/>
      <c r="L63" s="47"/>
      <c r="M63" s="47"/>
      <c r="N63" s="47"/>
    </row>
    <row r="64" spans="2:14" ht="15.75" thickBot="1" x14ac:dyDescent="0.3">
      <c r="B64" s="47"/>
      <c r="C64" s="43"/>
      <c r="D64" s="43"/>
      <c r="E64" s="13"/>
      <c r="F64" s="13"/>
      <c r="G64" s="17"/>
      <c r="H64" s="13"/>
      <c r="I64" s="47"/>
      <c r="J64" s="47"/>
      <c r="K64" s="47"/>
      <c r="L64" s="47"/>
      <c r="M64" s="47"/>
      <c r="N64" s="47"/>
    </row>
    <row r="65" spans="2:14" x14ac:dyDescent="0.25">
      <c r="B65" s="55"/>
      <c r="C65" s="43"/>
      <c r="D65" s="43"/>
      <c r="E65" s="13"/>
      <c r="F65" s="13"/>
      <c r="G65" s="18"/>
      <c r="H65" s="13"/>
      <c r="I65" s="47"/>
      <c r="J65" s="47"/>
      <c r="K65" s="47"/>
      <c r="L65" s="47"/>
      <c r="M65" s="47"/>
      <c r="N65" s="47"/>
    </row>
    <row r="66" spans="2:14" x14ac:dyDescent="0.25">
      <c r="B66" s="55"/>
      <c r="C66" s="43"/>
      <c r="D66" s="43"/>
      <c r="E66" s="13"/>
      <c r="F66" s="13"/>
      <c r="G66" s="17"/>
      <c r="H66" s="13"/>
      <c r="I66" s="47"/>
      <c r="J66" s="47"/>
      <c r="K66" s="47"/>
      <c r="L66" s="47"/>
      <c r="M66" s="47"/>
      <c r="N66" s="47"/>
    </row>
    <row r="67" spans="2:14" ht="15.75" thickBot="1" x14ac:dyDescent="0.3">
      <c r="B67" s="55"/>
      <c r="C67" s="43"/>
      <c r="D67" s="43"/>
      <c r="E67" s="13"/>
      <c r="F67" s="13"/>
      <c r="G67" s="19"/>
      <c r="H67" s="13"/>
      <c r="I67" s="47"/>
      <c r="J67" s="47"/>
      <c r="K67" s="47"/>
      <c r="L67" s="47"/>
      <c r="M67" s="47"/>
      <c r="N67" s="47"/>
    </row>
    <row r="68" spans="2:14" x14ac:dyDescent="0.25">
      <c r="B68" s="55"/>
      <c r="C68" s="43"/>
      <c r="D68" s="43"/>
      <c r="E68" s="13"/>
      <c r="F68" s="13"/>
      <c r="G68" s="17"/>
      <c r="H68" s="13"/>
      <c r="I68" s="47"/>
      <c r="J68" s="47"/>
      <c r="K68" s="47"/>
      <c r="L68" s="47"/>
      <c r="M68" s="47"/>
      <c r="N68" s="47"/>
    </row>
    <row r="69" spans="2:14" x14ac:dyDescent="0.25">
      <c r="B69" s="55"/>
      <c r="C69" s="43"/>
      <c r="D69" s="43"/>
      <c r="E69" s="13"/>
      <c r="F69" s="13"/>
      <c r="G69" s="13"/>
      <c r="H69" s="13"/>
      <c r="I69" s="47"/>
      <c r="J69" s="47"/>
      <c r="K69" s="47"/>
      <c r="L69" s="47"/>
      <c r="M69" s="47"/>
      <c r="N69" s="47"/>
    </row>
    <row r="70" spans="2:14" x14ac:dyDescent="0.25">
      <c r="B70" s="55"/>
      <c r="C70" s="50"/>
      <c r="E70" s="9"/>
      <c r="F70" s="9"/>
      <c r="G70" s="9"/>
      <c r="H70" s="9"/>
      <c r="I70" s="47"/>
    </row>
    <row r="71" spans="2:14" x14ac:dyDescent="0.25">
      <c r="B71" s="50"/>
      <c r="C71" s="50"/>
    </row>
    <row r="72" spans="2:14" x14ac:dyDescent="0.25">
      <c r="C72" s="47"/>
      <c r="E72" s="9"/>
      <c r="F72" s="9"/>
      <c r="G72" s="56"/>
    </row>
    <row r="73" spans="2:14" x14ac:dyDescent="0.25">
      <c r="B73" s="55"/>
      <c r="C73" s="47"/>
      <c r="E73" s="9"/>
      <c r="F73" s="9"/>
      <c r="G73" s="56"/>
    </row>
    <row r="74" spans="2:14" x14ac:dyDescent="0.25">
      <c r="B74" s="55"/>
      <c r="C74" s="47"/>
      <c r="E74" s="9"/>
      <c r="F74" s="9"/>
      <c r="G74" s="56"/>
    </row>
    <row r="75" spans="2:14" x14ac:dyDescent="0.25">
      <c r="B75" s="55"/>
      <c r="C75" s="47"/>
      <c r="E75" s="9"/>
      <c r="F75" s="9"/>
      <c r="G75" s="56"/>
    </row>
    <row r="76" spans="2:14" x14ac:dyDescent="0.25">
      <c r="B76" s="50"/>
      <c r="C76" s="47"/>
      <c r="E76" s="9"/>
      <c r="F76" s="9"/>
      <c r="G76" s="56"/>
    </row>
    <row r="77" spans="2:14" x14ac:dyDescent="0.25">
      <c r="B77" s="50"/>
      <c r="C77" s="47"/>
      <c r="E77" s="9"/>
      <c r="F77" s="9"/>
      <c r="G77" s="9"/>
    </row>
    <row r="78" spans="2:14" x14ac:dyDescent="0.25">
      <c r="B78" s="50"/>
      <c r="C78" s="47"/>
      <c r="E78" s="9"/>
      <c r="F78" s="9"/>
      <c r="G78" s="9"/>
    </row>
    <row r="79" spans="2:14" x14ac:dyDescent="0.25">
      <c r="B79" s="50"/>
      <c r="C79" s="47"/>
      <c r="E79" s="9"/>
      <c r="F79" s="9"/>
      <c r="G79" s="9"/>
    </row>
    <row r="80" spans="2:14" x14ac:dyDescent="0.25">
      <c r="B80" s="50"/>
      <c r="C80" s="47"/>
      <c r="E80" s="9"/>
      <c r="F80" s="9"/>
      <c r="G80" s="9"/>
    </row>
    <row r="81" spans="2:7" x14ac:dyDescent="0.25">
      <c r="B81" s="50"/>
      <c r="C81" s="47"/>
      <c r="E81" s="9"/>
      <c r="F81" s="9"/>
      <c r="G81" s="9"/>
    </row>
    <row r="82" spans="2:7" x14ac:dyDescent="0.25">
      <c r="B82" s="50"/>
      <c r="C82" s="47"/>
      <c r="E82" s="9"/>
      <c r="F82" s="9"/>
      <c r="G82" s="9"/>
    </row>
    <row r="83" spans="2:7" x14ac:dyDescent="0.25">
      <c r="B83" s="50"/>
      <c r="C83" s="47"/>
      <c r="E83" s="9"/>
      <c r="F83" s="9"/>
      <c r="G83" s="9"/>
    </row>
    <row r="84" spans="2:7" x14ac:dyDescent="0.25">
      <c r="B84" s="50"/>
      <c r="C84" s="47"/>
      <c r="E84" s="56"/>
      <c r="F84" s="9"/>
      <c r="G84" s="9"/>
    </row>
    <row r="85" spans="2:7" ht="15.75" thickBot="1" x14ac:dyDescent="0.3">
      <c r="B85" s="50"/>
      <c r="C85" s="47"/>
      <c r="E85" s="21"/>
      <c r="F85" s="9"/>
      <c r="G85" s="56"/>
    </row>
    <row r="86" spans="2:7" x14ac:dyDescent="0.25">
      <c r="B86" s="50"/>
      <c r="E86" s="9"/>
      <c r="F86" s="9"/>
      <c r="G86" s="56"/>
    </row>
    <row r="87" spans="2:7" x14ac:dyDescent="0.25">
      <c r="E87" s="9"/>
      <c r="F87" s="9"/>
      <c r="G87" s="9"/>
    </row>
    <row r="88" spans="2:7" x14ac:dyDescent="0.25">
      <c r="B88" s="50"/>
      <c r="C88" s="50"/>
      <c r="D88" s="50"/>
      <c r="E88" s="17"/>
      <c r="F88" s="9"/>
      <c r="G88" s="9"/>
    </row>
    <row r="89" spans="2:7" x14ac:dyDescent="0.25">
      <c r="B89" s="50"/>
      <c r="C89" s="47"/>
      <c r="D89" s="50"/>
      <c r="E89" s="13"/>
      <c r="F89" s="9"/>
      <c r="G89" s="9"/>
    </row>
    <row r="90" spans="2:7" x14ac:dyDescent="0.25">
      <c r="B90" s="50"/>
      <c r="C90" s="47"/>
      <c r="D90" s="50"/>
      <c r="E90" s="13"/>
      <c r="F90" s="9"/>
      <c r="G90" s="9"/>
    </row>
    <row r="91" spans="2:7" x14ac:dyDescent="0.25">
      <c r="B91" s="50"/>
      <c r="C91" s="47"/>
      <c r="D91" s="50"/>
      <c r="E91" s="13"/>
      <c r="F91" s="9"/>
      <c r="G91" s="9"/>
    </row>
    <row r="92" spans="2:7" x14ac:dyDescent="0.25">
      <c r="B92" s="50"/>
      <c r="C92" s="47"/>
      <c r="D92" s="50"/>
      <c r="E92" s="13"/>
      <c r="F92" s="9"/>
      <c r="G92" s="9"/>
    </row>
    <row r="93" spans="2:7" x14ac:dyDescent="0.25">
      <c r="B93" s="50"/>
      <c r="C93" s="47"/>
      <c r="D93" s="50"/>
      <c r="E93" s="13"/>
      <c r="F93" s="9"/>
      <c r="G93" s="9"/>
    </row>
    <row r="94" spans="2:7" x14ac:dyDescent="0.25">
      <c r="B94" s="50"/>
      <c r="C94" s="47"/>
      <c r="D94" s="50"/>
      <c r="E94" s="13"/>
      <c r="F94" s="9"/>
      <c r="G94" s="9"/>
    </row>
    <row r="95" spans="2:7" x14ac:dyDescent="0.25">
      <c r="B95" s="50"/>
      <c r="C95" s="47"/>
      <c r="E95" s="9"/>
      <c r="F95" s="9"/>
      <c r="G95" s="9"/>
    </row>
    <row r="96" spans="2:7" x14ac:dyDescent="0.25">
      <c r="B96" s="50"/>
      <c r="C96" s="47"/>
      <c r="E96" s="9"/>
      <c r="F96" s="9"/>
      <c r="G96" s="9"/>
    </row>
    <row r="97" spans="2:7" x14ac:dyDescent="0.25">
      <c r="B97" s="50"/>
      <c r="C97" s="47"/>
      <c r="E97" s="9"/>
      <c r="F97" s="9"/>
      <c r="G97" s="9"/>
    </row>
    <row r="98" spans="2:7" x14ac:dyDescent="0.25">
      <c r="B98" s="50"/>
      <c r="C98" s="47"/>
      <c r="E98" s="9"/>
      <c r="F98" s="9"/>
      <c r="G98" s="56"/>
    </row>
    <row r="99" spans="2:7" x14ac:dyDescent="0.25">
      <c r="B99" s="50"/>
      <c r="C99" s="47"/>
      <c r="E99" s="9"/>
      <c r="F99" s="9"/>
      <c r="G99" s="56"/>
    </row>
    <row r="100" spans="2:7" x14ac:dyDescent="0.25">
      <c r="B100" s="50"/>
      <c r="C100" s="47"/>
      <c r="E100" s="9"/>
      <c r="F100" s="9"/>
      <c r="G100" s="56"/>
    </row>
    <row r="101" spans="2:7" x14ac:dyDescent="0.25">
      <c r="B101" s="50"/>
      <c r="C101" s="47"/>
      <c r="E101" s="9"/>
      <c r="F101" s="9"/>
      <c r="G101" s="56"/>
    </row>
    <row r="102" spans="2:7" x14ac:dyDescent="0.25">
      <c r="B102" s="50"/>
      <c r="C102" s="47"/>
      <c r="E102" s="9"/>
      <c r="F102" s="9"/>
      <c r="G102" s="56"/>
    </row>
    <row r="103" spans="2:7" x14ac:dyDescent="0.25">
      <c r="B103" s="50"/>
      <c r="C103" s="47"/>
      <c r="E103" s="9"/>
      <c r="F103" s="9"/>
      <c r="G103" s="56"/>
    </row>
    <row r="104" spans="2:7" x14ac:dyDescent="0.25">
      <c r="B104" s="50"/>
      <c r="C104" s="47"/>
      <c r="E104" s="9"/>
      <c r="F104" s="9"/>
      <c r="G104" s="56"/>
    </row>
    <row r="105" spans="2:7" x14ac:dyDescent="0.25">
      <c r="B105" s="50"/>
      <c r="C105" s="47"/>
      <c r="E105" s="9"/>
      <c r="F105" s="9"/>
      <c r="G105" s="56"/>
    </row>
    <row r="106" spans="2:7" x14ac:dyDescent="0.25">
      <c r="B106" s="50"/>
      <c r="C106" s="47"/>
      <c r="E106" s="9"/>
      <c r="F106" s="9"/>
      <c r="G106" s="56"/>
    </row>
    <row r="107" spans="2:7" ht="15.75" thickBot="1" x14ac:dyDescent="0.3">
      <c r="B107" s="50"/>
      <c r="C107" s="47"/>
      <c r="E107" s="10"/>
      <c r="F107" s="9"/>
      <c r="G107" s="56"/>
    </row>
    <row r="108" spans="2:7" ht="15.75" thickBot="1" x14ac:dyDescent="0.3">
      <c r="B108" s="50"/>
      <c r="C108" s="47"/>
      <c r="E108" s="9"/>
      <c r="F108" s="10"/>
      <c r="G108" s="9"/>
    </row>
    <row r="109" spans="2:7" ht="15.75" thickBot="1" x14ac:dyDescent="0.3">
      <c r="B109" s="55"/>
      <c r="C109" s="47"/>
      <c r="E109" s="9"/>
      <c r="F109" s="9"/>
      <c r="G109" s="23"/>
    </row>
    <row r="110" spans="2:7" x14ac:dyDescent="0.25">
      <c r="B110" s="55"/>
      <c r="C110" s="47"/>
      <c r="E110" s="9"/>
      <c r="F110" s="9"/>
      <c r="G110" s="12"/>
    </row>
    <row r="111" spans="2:7" x14ac:dyDescent="0.25">
      <c r="C111" s="61"/>
      <c r="D111" s="61"/>
      <c r="E111" s="9"/>
      <c r="F111" s="9"/>
      <c r="G111" s="9"/>
    </row>
    <row r="112" spans="2:7" x14ac:dyDescent="0.25">
      <c r="E112" s="9"/>
      <c r="F112" s="9"/>
      <c r="G112" s="9"/>
    </row>
    <row r="113" spans="2:7" x14ac:dyDescent="0.25">
      <c r="B113" s="50"/>
      <c r="E113" s="9"/>
      <c r="F113" s="9"/>
      <c r="G113" s="9"/>
    </row>
    <row r="114" spans="2:7" x14ac:dyDescent="0.25">
      <c r="B114" s="50"/>
      <c r="E114" s="9"/>
      <c r="F114" s="9"/>
      <c r="G114" s="9"/>
    </row>
    <row r="115" spans="2:7" ht="15.75" thickBot="1" x14ac:dyDescent="0.3">
      <c r="E115" s="9"/>
      <c r="F115" s="9"/>
      <c r="G115" s="23"/>
    </row>
    <row r="116" spans="2:7" x14ac:dyDescent="0.25">
      <c r="B116" s="55"/>
      <c r="E116" s="9"/>
      <c r="F116" s="9"/>
      <c r="G116" s="17"/>
    </row>
    <row r="117" spans="2:7" x14ac:dyDescent="0.25">
      <c r="E117" s="9"/>
      <c r="F117" s="9"/>
      <c r="G117" s="9"/>
    </row>
    <row r="118" spans="2:7" x14ac:dyDescent="0.25">
      <c r="E118" s="9"/>
      <c r="F118" s="9"/>
      <c r="G118" s="9"/>
    </row>
    <row r="119" spans="2:7" x14ac:dyDescent="0.25">
      <c r="E119" s="9"/>
      <c r="F119" s="9"/>
      <c r="G119" s="9"/>
    </row>
    <row r="120" spans="2:7" x14ac:dyDescent="0.25">
      <c r="E120" s="9"/>
      <c r="F120" s="9"/>
      <c r="G120" s="9"/>
    </row>
    <row r="121" spans="2:7" x14ac:dyDescent="0.25">
      <c r="E121" s="9"/>
      <c r="F121" s="9"/>
      <c r="G121" s="9"/>
    </row>
    <row r="122" spans="2:7" x14ac:dyDescent="0.25">
      <c r="E122" s="9"/>
      <c r="F122" s="9"/>
      <c r="G122" s="9"/>
    </row>
    <row r="123" spans="2:7" x14ac:dyDescent="0.25">
      <c r="E123" s="9"/>
      <c r="F123" s="9"/>
      <c r="G123" s="9"/>
    </row>
    <row r="124" spans="2:7" x14ac:dyDescent="0.25">
      <c r="E124" s="9"/>
      <c r="F124" s="9"/>
      <c r="G124" s="9"/>
    </row>
    <row r="125" spans="2:7" x14ac:dyDescent="0.25">
      <c r="E125" s="9"/>
      <c r="F125" s="9"/>
      <c r="G125" s="9"/>
    </row>
    <row r="126" spans="2:7" x14ac:dyDescent="0.25">
      <c r="E126" s="9"/>
      <c r="F126" s="9"/>
      <c r="G126" s="9"/>
    </row>
    <row r="127" spans="2:7" x14ac:dyDescent="0.25">
      <c r="E127" s="9"/>
      <c r="F127" s="9"/>
      <c r="G127" s="9"/>
    </row>
    <row r="128" spans="2:7" x14ac:dyDescent="0.25">
      <c r="E128" s="9"/>
      <c r="F128" s="9"/>
      <c r="G128" s="9"/>
    </row>
    <row r="129" spans="5:7" x14ac:dyDescent="0.25">
      <c r="E129" s="9"/>
      <c r="F129" s="9"/>
      <c r="G129" s="9"/>
    </row>
  </sheetData>
  <mergeCells count="25">
    <mergeCell ref="C49:D49"/>
    <mergeCell ref="C111:D111"/>
    <mergeCell ref="C42:D42"/>
    <mergeCell ref="C43:D43"/>
    <mergeCell ref="C44:D44"/>
    <mergeCell ref="C45:D45"/>
    <mergeCell ref="C46:D46"/>
    <mergeCell ref="C47:D47"/>
    <mergeCell ref="C41:D41"/>
    <mergeCell ref="C20:D20"/>
    <mergeCell ref="C24:D24"/>
    <mergeCell ref="C26:D26"/>
    <mergeCell ref="C27:D27"/>
    <mergeCell ref="C28:D28"/>
    <mergeCell ref="C29:D29"/>
    <mergeCell ref="C30:D30"/>
    <mergeCell ref="C33:D33"/>
    <mergeCell ref="C34:D34"/>
    <mergeCell ref="C36:D36"/>
    <mergeCell ref="C14:D14"/>
    <mergeCell ref="C8:D8"/>
    <mergeCell ref="C10:D10"/>
    <mergeCell ref="C11:D11"/>
    <mergeCell ref="C12:D12"/>
    <mergeCell ref="C13:D13"/>
  </mergeCells>
  <pageMargins left="0.7" right="0.7" top="0.75" bottom="0.75" header="0.3" footer="0.3"/>
  <pageSetup paperSize="9" scale="7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topLeftCell="B29" workbookViewId="0">
      <selection activeCell="D69" sqref="A1:XFD1048576"/>
    </sheetView>
  </sheetViews>
  <sheetFormatPr defaultRowHeight="15" x14ac:dyDescent="0.25"/>
  <cols>
    <col min="1" max="1" width="4.140625" customWidth="1"/>
    <col min="2" max="2" width="2.42578125" customWidth="1"/>
    <col min="4" max="4" width="35.85546875" customWidth="1"/>
    <col min="5" max="5" width="12.5703125" bestFit="1" customWidth="1"/>
    <col min="6" max="6" width="14.28515625" customWidth="1"/>
    <col min="7" max="7" width="15.140625" customWidth="1"/>
    <col min="8" max="8" width="11.5703125" bestFit="1" customWidth="1"/>
    <col min="9" max="9" width="12" customWidth="1"/>
    <col min="10" max="10" width="11.5703125" bestFit="1" customWidth="1"/>
    <col min="11" max="11" width="12.5703125" bestFit="1" customWidth="1"/>
  </cols>
  <sheetData>
    <row r="1" spans="2:11" ht="17.25" x14ac:dyDescent="0.3">
      <c r="B1" s="1" t="s">
        <v>33</v>
      </c>
      <c r="C1" s="2"/>
      <c r="D1" s="2"/>
    </row>
    <row r="2" spans="2:11" ht="17.25" x14ac:dyDescent="0.3">
      <c r="B2" s="1" t="s">
        <v>3</v>
      </c>
      <c r="C2" s="2"/>
      <c r="D2" s="2"/>
    </row>
    <row r="3" spans="2:11" x14ac:dyDescent="0.25">
      <c r="B3" s="39" t="s">
        <v>50</v>
      </c>
    </row>
    <row r="5" spans="2:11" ht="18.75" x14ac:dyDescent="0.3">
      <c r="B5" s="3"/>
    </row>
    <row r="6" spans="2:11" x14ac:dyDescent="0.25">
      <c r="B6" s="4" t="s">
        <v>34</v>
      </c>
    </row>
    <row r="7" spans="2:11" x14ac:dyDescent="0.25">
      <c r="B7" s="5" t="s">
        <v>4</v>
      </c>
    </row>
    <row r="8" spans="2:11" x14ac:dyDescent="0.25">
      <c r="B8" s="5" t="s">
        <v>35</v>
      </c>
      <c r="C8" s="8"/>
      <c r="D8" s="26"/>
      <c r="E8" s="9"/>
      <c r="F8" s="7">
        <f>30550000+150000000+150000000+10000000</f>
        <v>340550000</v>
      </c>
      <c r="G8" s="9"/>
      <c r="H8" s="7"/>
      <c r="J8" s="24"/>
    </row>
    <row r="9" spans="2:11" hidden="1" x14ac:dyDescent="0.25">
      <c r="B9" s="5" t="s">
        <v>28</v>
      </c>
      <c r="C9" s="8"/>
      <c r="D9" s="26"/>
      <c r="E9" s="9"/>
      <c r="F9" s="9"/>
      <c r="G9" s="9"/>
      <c r="H9" s="7"/>
      <c r="I9" s="24"/>
      <c r="J9" s="24"/>
    </row>
    <row r="10" spans="2:11" ht="15.75" hidden="1" thickBot="1" x14ac:dyDescent="0.3">
      <c r="B10" s="5" t="s">
        <v>29</v>
      </c>
      <c r="C10" s="26"/>
      <c r="D10" s="26"/>
      <c r="E10" s="9"/>
      <c r="F10" s="28"/>
      <c r="G10" s="9"/>
      <c r="H10" s="7"/>
      <c r="J10" s="6"/>
    </row>
    <row r="11" spans="2:11" x14ac:dyDescent="0.25">
      <c r="B11" s="11" t="s">
        <v>36</v>
      </c>
      <c r="C11" s="26"/>
      <c r="D11" s="26"/>
      <c r="E11" s="9"/>
      <c r="F11" s="7"/>
      <c r="G11" s="12">
        <f>SUM(F8:F10)</f>
        <v>340550000</v>
      </c>
      <c r="H11" s="7"/>
      <c r="K11" s="6"/>
    </row>
    <row r="12" spans="2:11" x14ac:dyDescent="0.25">
      <c r="B12" s="5"/>
      <c r="C12" s="60"/>
      <c r="D12" s="60"/>
      <c r="E12" s="9"/>
      <c r="F12" s="7"/>
      <c r="G12" s="9"/>
      <c r="H12" s="7"/>
    </row>
    <row r="13" spans="2:11" x14ac:dyDescent="0.25">
      <c r="B13" s="5"/>
      <c r="C13" s="26"/>
      <c r="D13" s="26"/>
      <c r="E13" s="9"/>
      <c r="F13" s="7"/>
      <c r="G13" s="9"/>
      <c r="H13" s="7"/>
    </row>
    <row r="14" spans="2:11" x14ac:dyDescent="0.25">
      <c r="B14" s="11" t="s">
        <v>6</v>
      </c>
      <c r="C14" s="5"/>
      <c r="E14" s="7"/>
      <c r="F14" s="7"/>
      <c r="G14" s="7"/>
      <c r="H14" s="7"/>
      <c r="I14" s="27"/>
    </row>
    <row r="15" spans="2:11" x14ac:dyDescent="0.25">
      <c r="B15" s="5" t="s">
        <v>7</v>
      </c>
      <c r="C15" s="5"/>
    </row>
    <row r="16" spans="2:11" x14ac:dyDescent="0.25">
      <c r="B16" t="s">
        <v>5</v>
      </c>
      <c r="C16" s="42" t="s">
        <v>37</v>
      </c>
      <c r="E16" s="7">
        <f>3500000</f>
        <v>3500000</v>
      </c>
      <c r="F16" s="7"/>
      <c r="G16" s="20"/>
    </row>
    <row r="17" spans="2:7" x14ac:dyDescent="0.25">
      <c r="B17" s="11" t="s">
        <v>5</v>
      </c>
      <c r="C17" s="34" t="s">
        <v>38</v>
      </c>
      <c r="E17" s="7">
        <v>0</v>
      </c>
      <c r="F17" s="7"/>
      <c r="G17" s="20"/>
    </row>
    <row r="18" spans="2:7" x14ac:dyDescent="0.25">
      <c r="B18" s="11" t="s">
        <v>5</v>
      </c>
      <c r="C18" s="34" t="s">
        <v>39</v>
      </c>
      <c r="E18" s="7">
        <v>0</v>
      </c>
      <c r="F18" s="7"/>
      <c r="G18" s="20"/>
    </row>
    <row r="19" spans="2:7" ht="17.25" x14ac:dyDescent="0.4">
      <c r="B19" s="11" t="s">
        <v>5</v>
      </c>
      <c r="C19" s="34" t="s">
        <v>44</v>
      </c>
      <c r="E19" s="35">
        <f>2900000+12500000+200000+24000000+668000+600000+5000000+1500000+800000+100000+802000+3300000+8581000</f>
        <v>60951000</v>
      </c>
      <c r="F19" s="7"/>
      <c r="G19" s="20"/>
    </row>
    <row r="20" spans="2:7" x14ac:dyDescent="0.25">
      <c r="B20" s="5" t="s">
        <v>8</v>
      </c>
      <c r="E20" s="36">
        <v>0</v>
      </c>
      <c r="F20" s="36">
        <f>SUM(E16:E19)</f>
        <v>64451000</v>
      </c>
      <c r="G20" s="20"/>
    </row>
    <row r="21" spans="2:7" x14ac:dyDescent="0.25">
      <c r="D21" s="5"/>
      <c r="E21" s="7">
        <v>0</v>
      </c>
      <c r="F21" s="7"/>
      <c r="G21" s="7"/>
    </row>
    <row r="22" spans="2:7" x14ac:dyDescent="0.25">
      <c r="B22" s="40" t="s">
        <v>51</v>
      </c>
      <c r="D22" s="5"/>
      <c r="E22" s="7"/>
      <c r="F22" s="7"/>
      <c r="G22" s="7"/>
    </row>
    <row r="23" spans="2:7" x14ac:dyDescent="0.25">
      <c r="B23" t="s">
        <v>5</v>
      </c>
      <c r="C23" t="s">
        <v>52</v>
      </c>
      <c r="D23" s="5"/>
      <c r="E23" s="7">
        <f>200000+200000+200000+100000+50000+70000+10000+120000+20000+170000+20000+95000+75000+15000+48500+20000+12000+96000+51000+56000+12000+18000+192000+1064000+108000+232000+565000+75000+248000+100000</f>
        <v>4242500</v>
      </c>
      <c r="F23" s="7"/>
      <c r="G23" s="7"/>
    </row>
    <row r="24" spans="2:7" x14ac:dyDescent="0.25">
      <c r="B24" t="s">
        <v>5</v>
      </c>
      <c r="C24" t="s">
        <v>53</v>
      </c>
      <c r="D24" s="5"/>
      <c r="E24" s="7">
        <f>100000+400000+200000+59800+205000+100000+750000+50000+1460000+200000+200000+60000+100000+100000+148000+27500+29700+80000+1000000</f>
        <v>5270000</v>
      </c>
      <c r="F24" s="7"/>
      <c r="G24" s="7"/>
    </row>
    <row r="25" spans="2:7" x14ac:dyDescent="0.25">
      <c r="B25" t="s">
        <v>5</v>
      </c>
      <c r="C25" t="s">
        <v>54</v>
      </c>
      <c r="D25" s="5"/>
      <c r="E25" s="7">
        <f>100000+2315000+450000+460000+700000+350000+1485000</f>
        <v>5860000</v>
      </c>
      <c r="F25" s="7"/>
      <c r="G25" s="7"/>
    </row>
    <row r="26" spans="2:7" x14ac:dyDescent="0.25">
      <c r="B26" t="s">
        <v>5</v>
      </c>
      <c r="C26" t="s">
        <v>58</v>
      </c>
      <c r="D26" s="5"/>
      <c r="E26" s="7"/>
      <c r="F26" s="7"/>
      <c r="G26" s="7"/>
    </row>
    <row r="27" spans="2:7" x14ac:dyDescent="0.25">
      <c r="C27" s="40" t="s">
        <v>55</v>
      </c>
      <c r="D27" s="5"/>
      <c r="E27" s="7"/>
      <c r="F27" s="7">
        <f>E23+E24+E25+E26</f>
        <v>15372500</v>
      </c>
      <c r="G27" s="7"/>
    </row>
    <row r="28" spans="2:7" x14ac:dyDescent="0.25">
      <c r="D28" s="5"/>
      <c r="E28" s="7"/>
      <c r="F28" s="7"/>
      <c r="G28" s="7"/>
    </row>
    <row r="29" spans="2:7" x14ac:dyDescent="0.25">
      <c r="B29" s="5" t="s">
        <v>9</v>
      </c>
      <c r="C29" s="5"/>
      <c r="D29" s="5"/>
      <c r="E29" s="22"/>
      <c r="F29" s="7"/>
      <c r="G29" s="7"/>
    </row>
    <row r="30" spans="2:7" x14ac:dyDescent="0.25">
      <c r="B30" s="5" t="s">
        <v>5</v>
      </c>
      <c r="C30" s="27" t="s">
        <v>10</v>
      </c>
      <c r="D30" s="5"/>
      <c r="E30" s="14">
        <f>856000+2774000+978000+639999+100000+1950000+600000+1950000+2000000+2800000+1500000+4300000+900000+1800000+2570000+1500000+3540000+2810000+2519500+2803500+2950000+2000000</f>
        <v>43840999</v>
      </c>
      <c r="F30" s="7"/>
      <c r="G30" s="7"/>
    </row>
    <row r="31" spans="2:7" x14ac:dyDescent="0.25">
      <c r="B31" s="5" t="s">
        <v>5</v>
      </c>
      <c r="C31" s="34" t="s">
        <v>41</v>
      </c>
      <c r="D31" s="5"/>
      <c r="E31" s="14">
        <f>150000+1380000+50000+100000+20000+100000+10000+4401239+50000+100000+150000</f>
        <v>6511239</v>
      </c>
      <c r="F31" s="7"/>
      <c r="G31" s="7"/>
    </row>
    <row r="32" spans="2:7" x14ac:dyDescent="0.25">
      <c r="B32" s="5" t="s">
        <v>5</v>
      </c>
      <c r="C32" s="39" t="s">
        <v>56</v>
      </c>
      <c r="D32" s="5"/>
      <c r="E32" s="14"/>
      <c r="F32" s="7"/>
      <c r="G32" s="7"/>
    </row>
    <row r="33" spans="2:9" x14ac:dyDescent="0.25">
      <c r="B33" s="5" t="s">
        <v>5</v>
      </c>
      <c r="C33" s="27" t="s">
        <v>1</v>
      </c>
      <c r="D33" s="5"/>
      <c r="E33" s="14">
        <f>52000</f>
        <v>52000</v>
      </c>
      <c r="F33" s="7"/>
      <c r="G33" s="7"/>
    </row>
    <row r="34" spans="2:9" x14ac:dyDescent="0.25">
      <c r="B34" s="5" t="s">
        <v>5</v>
      </c>
      <c r="C34" s="27" t="s">
        <v>2</v>
      </c>
      <c r="D34" s="5"/>
      <c r="E34" s="14"/>
      <c r="F34" s="7"/>
      <c r="G34" s="7"/>
    </row>
    <row r="35" spans="2:9" x14ac:dyDescent="0.25">
      <c r="B35" s="5" t="s">
        <v>5</v>
      </c>
      <c r="C35" s="27" t="s">
        <v>11</v>
      </c>
      <c r="E35" s="14"/>
      <c r="F35" s="7"/>
      <c r="G35" s="7"/>
    </row>
    <row r="36" spans="2:9" x14ac:dyDescent="0.25">
      <c r="B36" s="5" t="s">
        <v>5</v>
      </c>
      <c r="C36" s="27" t="s">
        <v>12</v>
      </c>
      <c r="E36" s="7">
        <f>457500+74000+15000+200000+77000+200000+270000+50000+50000+90500+45500</f>
        <v>1529500</v>
      </c>
      <c r="F36" s="7"/>
      <c r="G36" s="7"/>
      <c r="I36" t="s">
        <v>48</v>
      </c>
    </row>
    <row r="37" spans="2:9" x14ac:dyDescent="0.25">
      <c r="B37" s="5" t="s">
        <v>5</v>
      </c>
      <c r="C37" s="34" t="s">
        <v>46</v>
      </c>
      <c r="E37" s="7">
        <f>500000+1300000+6000000+6500000+1200000</f>
        <v>15500000</v>
      </c>
      <c r="F37" s="7"/>
      <c r="G37" s="7"/>
    </row>
    <row r="38" spans="2:9" x14ac:dyDescent="0.25">
      <c r="B38" s="5" t="s">
        <v>5</v>
      </c>
      <c r="C38" s="34" t="s">
        <v>42</v>
      </c>
      <c r="E38" s="7">
        <f>2500000+275000+4500000+250000</f>
        <v>7525000</v>
      </c>
      <c r="F38" s="7"/>
      <c r="G38" s="7"/>
    </row>
    <row r="39" spans="2:9" x14ac:dyDescent="0.25">
      <c r="B39" s="5" t="s">
        <v>5</v>
      </c>
      <c r="C39" s="34" t="s">
        <v>45</v>
      </c>
      <c r="E39" s="7">
        <f>400000+2000000</f>
        <v>2400000</v>
      </c>
      <c r="F39" s="7"/>
      <c r="G39" s="7"/>
    </row>
    <row r="40" spans="2:9" x14ac:dyDescent="0.25">
      <c r="B40" s="5" t="s">
        <v>5</v>
      </c>
      <c r="C40" s="34" t="s">
        <v>40</v>
      </c>
      <c r="E40" s="7">
        <f>5000+90000+100000+82000+47600+288500+10500+20000+140000+210000+50000+33500+170000+150000+150000</f>
        <v>1547100</v>
      </c>
      <c r="F40" s="7"/>
      <c r="G40" s="7"/>
    </row>
    <row r="41" spans="2:9" x14ac:dyDescent="0.25">
      <c r="B41" s="5" t="s">
        <v>5</v>
      </c>
      <c r="C41" s="27" t="s">
        <v>13</v>
      </c>
      <c r="E41" s="7">
        <v>0</v>
      </c>
      <c r="F41" s="7"/>
      <c r="G41" s="20"/>
    </row>
    <row r="42" spans="2:9" x14ac:dyDescent="0.25">
      <c r="B42" s="5" t="s">
        <v>5</v>
      </c>
      <c r="C42" s="34" t="s">
        <v>14</v>
      </c>
      <c r="E42" s="7">
        <v>0</v>
      </c>
      <c r="F42" s="7"/>
      <c r="G42" s="20"/>
    </row>
    <row r="43" spans="2:9" x14ac:dyDescent="0.25">
      <c r="B43" s="5" t="s">
        <v>5</v>
      </c>
      <c r="C43" s="27" t="s">
        <v>15</v>
      </c>
      <c r="E43" s="7">
        <f>10000+500000+83000</f>
        <v>593000</v>
      </c>
      <c r="F43" s="7"/>
      <c r="G43" s="20"/>
    </row>
    <row r="44" spans="2:9" x14ac:dyDescent="0.25">
      <c r="B44" s="5" t="s">
        <v>5</v>
      </c>
      <c r="C44" s="42" t="s">
        <v>59</v>
      </c>
      <c r="E44" s="7">
        <f>20000000+1000000+10000000</f>
        <v>31000000</v>
      </c>
      <c r="F44" s="7"/>
      <c r="G44" s="20"/>
    </row>
    <row r="45" spans="2:9" x14ac:dyDescent="0.25">
      <c r="B45" s="5" t="s">
        <v>5</v>
      </c>
      <c r="C45" s="27" t="s">
        <v>16</v>
      </c>
      <c r="E45" s="7"/>
      <c r="F45" s="7"/>
      <c r="G45" s="20"/>
    </row>
    <row r="46" spans="2:9" x14ac:dyDescent="0.25">
      <c r="B46" s="5" t="s">
        <v>5</v>
      </c>
      <c r="C46" s="34" t="s">
        <v>17</v>
      </c>
      <c r="E46" s="7">
        <f>200000</f>
        <v>200000</v>
      </c>
      <c r="F46" s="7"/>
      <c r="G46" s="20"/>
    </row>
    <row r="47" spans="2:9" x14ac:dyDescent="0.25">
      <c r="B47" s="5" t="s">
        <v>5</v>
      </c>
      <c r="C47" s="34" t="s">
        <v>43</v>
      </c>
      <c r="E47" s="7"/>
      <c r="F47" s="7"/>
      <c r="G47" s="20"/>
    </row>
    <row r="48" spans="2:9" x14ac:dyDescent="0.25">
      <c r="B48" s="5" t="s">
        <v>5</v>
      </c>
      <c r="C48" s="27" t="s">
        <v>27</v>
      </c>
      <c r="E48" s="7"/>
      <c r="F48" s="7"/>
      <c r="G48" s="20"/>
    </row>
    <row r="49" spans="2:7" x14ac:dyDescent="0.25">
      <c r="B49" s="5" t="s">
        <v>5</v>
      </c>
      <c r="C49" s="38" t="s">
        <v>49</v>
      </c>
      <c r="E49" s="7">
        <f>353000+225000+100000+1050000+150000+9000+800000+550000</f>
        <v>3237000</v>
      </c>
      <c r="F49" s="7"/>
      <c r="G49" s="20"/>
    </row>
    <row r="50" spans="2:7" x14ac:dyDescent="0.25">
      <c r="B50" s="5" t="s">
        <v>5</v>
      </c>
      <c r="C50" s="27" t="s">
        <v>18</v>
      </c>
      <c r="E50" s="7">
        <f>2000000+200000+6000000+100000+700000+500000+1200000+300000+2000000+100000+1500000+300000</f>
        <v>14900000</v>
      </c>
      <c r="F50" s="7"/>
      <c r="G50" s="20"/>
    </row>
    <row r="51" spans="2:7" x14ac:dyDescent="0.25">
      <c r="B51" s="5" t="s">
        <v>5</v>
      </c>
      <c r="C51" s="29" t="s">
        <v>30</v>
      </c>
      <c r="E51" s="7">
        <f>121227</f>
        <v>121227</v>
      </c>
      <c r="F51" s="7"/>
      <c r="G51" s="20"/>
    </row>
    <row r="52" spans="2:7" x14ac:dyDescent="0.25">
      <c r="B52" s="5" t="s">
        <v>5</v>
      </c>
      <c r="C52" s="30" t="s">
        <v>31</v>
      </c>
      <c r="E52" s="7"/>
      <c r="F52" s="7"/>
      <c r="G52" s="20"/>
    </row>
    <row r="53" spans="2:7" x14ac:dyDescent="0.25">
      <c r="B53" s="5"/>
      <c r="C53" s="37" t="s">
        <v>47</v>
      </c>
      <c r="E53" s="7">
        <f>650000+3100000+1500000+3000000+2000000+600000+2000000</f>
        <v>12850000</v>
      </c>
      <c r="F53" s="7"/>
      <c r="G53" s="20"/>
    </row>
    <row r="54" spans="2:7" x14ac:dyDescent="0.25">
      <c r="B54" s="5" t="s">
        <v>5</v>
      </c>
      <c r="C54" s="39" t="s">
        <v>57</v>
      </c>
      <c r="E54" s="7">
        <f>3105000</f>
        <v>3105000</v>
      </c>
      <c r="F54" s="7"/>
      <c r="G54" s="20"/>
    </row>
    <row r="55" spans="2:7" ht="15.75" thickBot="1" x14ac:dyDescent="0.3">
      <c r="B55" s="5" t="s">
        <v>5</v>
      </c>
      <c r="C55" s="27" t="s">
        <v>19</v>
      </c>
      <c r="E55" s="10">
        <v>0</v>
      </c>
      <c r="F55" s="7"/>
      <c r="G55" s="20"/>
    </row>
    <row r="56" spans="2:7" ht="15.75" thickBot="1" x14ac:dyDescent="0.3">
      <c r="B56" s="5" t="s">
        <v>20</v>
      </c>
      <c r="C56" s="27"/>
      <c r="E56" s="7"/>
      <c r="F56" s="23">
        <f>SUM(E30:E55)</f>
        <v>144912065</v>
      </c>
      <c r="G56" s="9"/>
    </row>
    <row r="57" spans="2:7" ht="15.75" thickBot="1" x14ac:dyDescent="0.3">
      <c r="B57" s="11" t="s">
        <v>21</v>
      </c>
      <c r="C57" s="27"/>
      <c r="E57" s="7"/>
      <c r="F57" s="7"/>
      <c r="G57" s="23">
        <f>-SUM(F20:F56)</f>
        <v>-224735565</v>
      </c>
    </row>
    <row r="58" spans="2:7" x14ac:dyDescent="0.25">
      <c r="B58" s="11" t="s">
        <v>22</v>
      </c>
      <c r="C58" s="27"/>
      <c r="D58" s="33"/>
      <c r="E58" s="7"/>
      <c r="F58" s="7"/>
      <c r="G58" s="12">
        <f>+G57</f>
        <v>-224735565</v>
      </c>
    </row>
    <row r="59" spans="2:7" x14ac:dyDescent="0.25">
      <c r="C59" s="33"/>
      <c r="E59" s="7"/>
      <c r="F59" s="7"/>
      <c r="G59" s="9"/>
    </row>
    <row r="60" spans="2:7" x14ac:dyDescent="0.25">
      <c r="B60" t="s">
        <v>23</v>
      </c>
      <c r="E60" s="7"/>
      <c r="F60" s="7"/>
      <c r="G60" s="7"/>
    </row>
    <row r="61" spans="2:7" x14ac:dyDescent="0.25">
      <c r="B61" s="5" t="s">
        <v>5</v>
      </c>
      <c r="C61" t="s">
        <v>26</v>
      </c>
      <c r="E61" s="7"/>
      <c r="F61" s="7"/>
      <c r="G61" s="7"/>
    </row>
    <row r="62" spans="2:7" x14ac:dyDescent="0.25">
      <c r="B62" s="5" t="s">
        <v>5</v>
      </c>
      <c r="E62" s="7"/>
      <c r="F62" s="7"/>
      <c r="G62" s="7"/>
    </row>
    <row r="63" spans="2:7" ht="15.75" thickBot="1" x14ac:dyDescent="0.3">
      <c r="B63" t="s">
        <v>25</v>
      </c>
      <c r="E63" s="7"/>
      <c r="F63" s="7"/>
      <c r="G63" s="32">
        <f>SUM(F60:F62)</f>
        <v>0</v>
      </c>
    </row>
    <row r="64" spans="2:7" x14ac:dyDescent="0.25">
      <c r="B64" s="11" t="s">
        <v>24</v>
      </c>
      <c r="E64" s="7"/>
      <c r="F64" s="7"/>
      <c r="G64" s="31">
        <f>G11+G58</f>
        <v>115814435</v>
      </c>
    </row>
    <row r="65" spans="5:9" x14ac:dyDescent="0.25">
      <c r="E65" s="7"/>
      <c r="F65" s="7"/>
      <c r="G65" s="9"/>
    </row>
    <row r="66" spans="5:9" x14ac:dyDescent="0.25">
      <c r="E66" s="7"/>
      <c r="F66" s="7"/>
      <c r="G66" s="7"/>
    </row>
    <row r="67" spans="5:9" x14ac:dyDescent="0.25">
      <c r="E67" s="7"/>
      <c r="F67" s="7"/>
      <c r="G67" s="7"/>
      <c r="I67" t="s">
        <v>32</v>
      </c>
    </row>
    <row r="68" spans="5:9" x14ac:dyDescent="0.25">
      <c r="E68" s="7"/>
      <c r="F68" s="7"/>
      <c r="G68" s="7"/>
    </row>
    <row r="69" spans="5:9" x14ac:dyDescent="0.25">
      <c r="E69" s="7"/>
      <c r="F69" s="7"/>
      <c r="G69" s="7"/>
    </row>
    <row r="70" spans="5:9" x14ac:dyDescent="0.25">
      <c r="E70" s="7"/>
      <c r="F70" s="7"/>
      <c r="G70" s="7"/>
    </row>
    <row r="71" spans="5:9" x14ac:dyDescent="0.25">
      <c r="E71" s="7"/>
      <c r="F71" s="7"/>
      <c r="G71" s="7"/>
    </row>
    <row r="72" spans="5:9" x14ac:dyDescent="0.25">
      <c r="E72" s="7"/>
      <c r="F72" s="7"/>
      <c r="G72" s="7"/>
    </row>
    <row r="73" spans="5:9" x14ac:dyDescent="0.25">
      <c r="E73" s="7"/>
      <c r="F73" s="7"/>
      <c r="G73" s="7"/>
    </row>
    <row r="74" spans="5:9" x14ac:dyDescent="0.25">
      <c r="E74" s="7"/>
      <c r="F74" s="7"/>
      <c r="G74" s="7"/>
    </row>
    <row r="75" spans="5:9" x14ac:dyDescent="0.25">
      <c r="E75" s="7"/>
      <c r="F75" s="7"/>
      <c r="G75" s="7"/>
    </row>
    <row r="76" spans="5:9" x14ac:dyDescent="0.25">
      <c r="E76" s="7"/>
      <c r="F76" s="7"/>
      <c r="G76" s="7"/>
    </row>
    <row r="77" spans="5:9" x14ac:dyDescent="0.25">
      <c r="E77" s="7"/>
      <c r="F77" s="7"/>
      <c r="G77" s="7"/>
    </row>
  </sheetData>
  <mergeCells count="1">
    <mergeCell ref="C12:D12"/>
  </mergeCells>
  <pageMargins left="0.7" right="0.7" top="0.35" bottom="0.75" header="0.3" footer="0.3"/>
  <pageSetup paperSize="9" scale="7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topLeftCell="A19" workbookViewId="0">
      <selection activeCell="E62" sqref="A1:XFD1048576"/>
    </sheetView>
  </sheetViews>
  <sheetFormatPr defaultRowHeight="15" x14ac:dyDescent="0.25"/>
  <cols>
    <col min="1" max="1" width="4.140625" customWidth="1"/>
    <col min="2" max="2" width="2.42578125" customWidth="1"/>
    <col min="4" max="4" width="35.85546875" customWidth="1"/>
    <col min="5" max="5" width="12.5703125" bestFit="1" customWidth="1"/>
    <col min="6" max="6" width="14.28515625" customWidth="1"/>
    <col min="7" max="7" width="15.140625" customWidth="1"/>
    <col min="8" max="8" width="11.5703125" bestFit="1" customWidth="1"/>
    <col min="9" max="9" width="12" customWidth="1"/>
    <col min="10" max="10" width="11.5703125" bestFit="1" customWidth="1"/>
    <col min="11" max="11" width="12.5703125" bestFit="1" customWidth="1"/>
  </cols>
  <sheetData>
    <row r="1" spans="2:11" ht="17.25" x14ac:dyDescent="0.3">
      <c r="B1" s="1" t="s">
        <v>33</v>
      </c>
      <c r="C1" s="2"/>
      <c r="D1" s="2"/>
    </row>
    <row r="2" spans="2:11" ht="17.25" x14ac:dyDescent="0.3">
      <c r="B2" s="1" t="s">
        <v>3</v>
      </c>
      <c r="C2" s="2"/>
      <c r="D2" s="2"/>
    </row>
    <row r="3" spans="2:11" x14ac:dyDescent="0.25">
      <c r="B3" s="42" t="s">
        <v>60</v>
      </c>
    </row>
    <row r="5" spans="2:11" ht="18.75" x14ac:dyDescent="0.3">
      <c r="B5" s="3"/>
    </row>
    <row r="6" spans="2:11" x14ac:dyDescent="0.25">
      <c r="B6" s="4" t="s">
        <v>34</v>
      </c>
    </row>
    <row r="7" spans="2:11" x14ac:dyDescent="0.25">
      <c r="B7" s="5" t="s">
        <v>4</v>
      </c>
    </row>
    <row r="8" spans="2:11" x14ac:dyDescent="0.25">
      <c r="B8" s="5" t="s">
        <v>35</v>
      </c>
      <c r="C8" s="8"/>
      <c r="D8" s="41"/>
      <c r="E8" s="9"/>
      <c r="F8" s="7">
        <v>370297159</v>
      </c>
      <c r="G8" s="9"/>
      <c r="H8" s="7"/>
      <c r="J8" s="24"/>
    </row>
    <row r="9" spans="2:11" hidden="1" x14ac:dyDescent="0.25">
      <c r="B9" s="5" t="s">
        <v>28</v>
      </c>
      <c r="C9" s="8"/>
      <c r="D9" s="41"/>
      <c r="E9" s="9"/>
      <c r="F9" s="9"/>
      <c r="G9" s="9"/>
      <c r="H9" s="7"/>
      <c r="I9" s="24"/>
      <c r="J9" s="24"/>
    </row>
    <row r="10" spans="2:11" ht="15.75" hidden="1" thickBot="1" x14ac:dyDescent="0.3">
      <c r="B10" s="5" t="s">
        <v>29</v>
      </c>
      <c r="C10" s="41"/>
      <c r="D10" s="41"/>
      <c r="E10" s="9"/>
      <c r="F10" s="28"/>
      <c r="G10" s="9"/>
      <c r="H10" s="7"/>
      <c r="J10" s="6"/>
    </row>
    <row r="11" spans="2:11" x14ac:dyDescent="0.25">
      <c r="B11" s="11" t="s">
        <v>36</v>
      </c>
      <c r="C11" s="41"/>
      <c r="D11" s="41"/>
      <c r="E11" s="9"/>
      <c r="F11" s="7"/>
      <c r="G11" s="12">
        <f>SUM(F8:F10)</f>
        <v>370297159</v>
      </c>
      <c r="H11" s="7"/>
      <c r="K11" s="6"/>
    </row>
    <row r="12" spans="2:11" x14ac:dyDescent="0.25">
      <c r="B12" s="5"/>
      <c r="C12" s="60"/>
      <c r="D12" s="60"/>
      <c r="E12" s="9"/>
      <c r="F12" s="7"/>
      <c r="G12" s="9"/>
      <c r="H12" s="7"/>
    </row>
    <row r="13" spans="2:11" x14ac:dyDescent="0.25">
      <c r="B13" s="5"/>
      <c r="C13" s="41"/>
      <c r="D13" s="41"/>
      <c r="E13" s="9"/>
      <c r="F13" s="7"/>
      <c r="G13" s="9"/>
      <c r="H13" s="7"/>
    </row>
    <row r="14" spans="2:11" x14ac:dyDescent="0.25">
      <c r="B14" s="11" t="s">
        <v>6</v>
      </c>
      <c r="C14" s="5"/>
      <c r="E14" s="7"/>
      <c r="F14" s="7"/>
      <c r="G14" s="7"/>
      <c r="H14" s="7"/>
      <c r="I14" s="42"/>
    </row>
    <row r="15" spans="2:11" x14ac:dyDescent="0.25">
      <c r="B15" s="5" t="s">
        <v>7</v>
      </c>
      <c r="C15" s="5"/>
    </row>
    <row r="16" spans="2:11" x14ac:dyDescent="0.25">
      <c r="B16" t="s">
        <v>5</v>
      </c>
      <c r="C16" s="42" t="s">
        <v>37</v>
      </c>
      <c r="E16" s="7"/>
      <c r="F16" s="7"/>
      <c r="G16" s="20"/>
    </row>
    <row r="17" spans="2:7" x14ac:dyDescent="0.25">
      <c r="B17" s="11" t="s">
        <v>5</v>
      </c>
      <c r="C17" s="42" t="s">
        <v>38</v>
      </c>
      <c r="E17" s="7">
        <v>0</v>
      </c>
      <c r="F17" s="7"/>
      <c r="G17" s="20"/>
    </row>
    <row r="18" spans="2:7" x14ac:dyDescent="0.25">
      <c r="B18" s="11" t="s">
        <v>5</v>
      </c>
      <c r="C18" s="42" t="s">
        <v>39</v>
      </c>
      <c r="E18" s="7">
        <v>0</v>
      </c>
      <c r="F18" s="7"/>
      <c r="G18" s="20"/>
    </row>
    <row r="19" spans="2:7" ht="17.25" x14ac:dyDescent="0.4">
      <c r="B19" s="11" t="s">
        <v>5</v>
      </c>
      <c r="C19" s="42" t="s">
        <v>44</v>
      </c>
      <c r="E19" s="35">
        <f>40000+5000000+40000+40000+40000+50000+1546111</f>
        <v>6756111</v>
      </c>
      <c r="F19" s="7"/>
      <c r="G19" s="20"/>
    </row>
    <row r="20" spans="2:7" x14ac:dyDescent="0.25">
      <c r="B20" s="5" t="s">
        <v>8</v>
      </c>
      <c r="E20" s="36">
        <v>0</v>
      </c>
      <c r="F20" s="36">
        <f>SUM(E16:E19)</f>
        <v>6756111</v>
      </c>
      <c r="G20" s="20"/>
    </row>
    <row r="21" spans="2:7" x14ac:dyDescent="0.25">
      <c r="D21" s="5"/>
      <c r="E21" s="7">
        <v>0</v>
      </c>
      <c r="F21" s="7"/>
      <c r="G21" s="7"/>
    </row>
    <row r="22" spans="2:7" x14ac:dyDescent="0.25">
      <c r="B22" s="40" t="s">
        <v>51</v>
      </c>
      <c r="D22" s="5"/>
      <c r="E22" s="7"/>
      <c r="F22" s="7"/>
      <c r="G22" s="7"/>
    </row>
    <row r="23" spans="2:7" x14ac:dyDescent="0.25">
      <c r="B23" t="s">
        <v>5</v>
      </c>
      <c r="C23" t="s">
        <v>52</v>
      </c>
      <c r="D23" s="5"/>
      <c r="E23" s="7">
        <f>450000+1000000</f>
        <v>1450000</v>
      </c>
      <c r="F23" s="7"/>
      <c r="G23" s="7"/>
    </row>
    <row r="24" spans="2:7" x14ac:dyDescent="0.25">
      <c r="B24" t="s">
        <v>5</v>
      </c>
      <c r="C24" t="s">
        <v>53</v>
      </c>
      <c r="D24" s="5"/>
      <c r="E24" s="7">
        <f>100000+100000+100000+90000+200000+100000+600000+200000+100000+180000+613000+1500000+500000+100000+100000+100000+100000+100000+100000+1700000+150000</f>
        <v>6833000</v>
      </c>
      <c r="F24" s="7"/>
      <c r="G24" s="7"/>
    </row>
    <row r="25" spans="2:7" x14ac:dyDescent="0.25">
      <c r="B25" t="s">
        <v>5</v>
      </c>
      <c r="C25" t="s">
        <v>54</v>
      </c>
      <c r="D25" s="5"/>
      <c r="E25" s="7">
        <f>645000+1000000+1000000+900000+100000+1000000</f>
        <v>4645000</v>
      </c>
      <c r="F25" s="7"/>
      <c r="G25" s="7"/>
    </row>
    <row r="26" spans="2:7" x14ac:dyDescent="0.25">
      <c r="B26" t="s">
        <v>5</v>
      </c>
      <c r="C26" t="s">
        <v>58</v>
      </c>
      <c r="D26" s="5"/>
      <c r="E26" s="7"/>
      <c r="F26" s="7"/>
      <c r="G26" s="7"/>
    </row>
    <row r="27" spans="2:7" x14ac:dyDescent="0.25">
      <c r="C27" s="40" t="s">
        <v>55</v>
      </c>
      <c r="D27" s="5"/>
      <c r="E27" s="7"/>
      <c r="F27" s="7">
        <f>E23+E24+E25+E26</f>
        <v>12928000</v>
      </c>
      <c r="G27" s="7"/>
    </row>
    <row r="28" spans="2:7" x14ac:dyDescent="0.25">
      <c r="D28" s="5"/>
      <c r="E28" s="7"/>
      <c r="F28" s="7"/>
      <c r="G28" s="7"/>
    </row>
    <row r="29" spans="2:7" x14ac:dyDescent="0.25">
      <c r="B29" s="5" t="s">
        <v>9</v>
      </c>
      <c r="C29" s="5"/>
      <c r="D29" s="5"/>
      <c r="E29" s="22"/>
      <c r="F29" s="7"/>
      <c r="G29" s="7"/>
    </row>
    <row r="30" spans="2:7" x14ac:dyDescent="0.25">
      <c r="B30" s="5" t="s">
        <v>5</v>
      </c>
      <c r="C30" s="42" t="s">
        <v>10</v>
      </c>
      <c r="D30" s="5"/>
      <c r="E30" s="14">
        <f>200000+2400000+900000+200000+5600000+1500000+3575000+2000000+8184000</f>
        <v>24559000</v>
      </c>
      <c r="F30" s="7"/>
      <c r="G30" s="7"/>
    </row>
    <row r="31" spans="2:7" x14ac:dyDescent="0.25">
      <c r="B31" s="5" t="s">
        <v>5</v>
      </c>
      <c r="C31" s="42" t="s">
        <v>41</v>
      </c>
      <c r="D31" s="5"/>
      <c r="E31" s="14">
        <f>8500+40000+150000+6000+6000+4500+100000</f>
        <v>315000</v>
      </c>
      <c r="F31" s="7"/>
      <c r="G31" s="7"/>
    </row>
    <row r="32" spans="2:7" x14ac:dyDescent="0.25">
      <c r="B32" s="5" t="s">
        <v>5</v>
      </c>
      <c r="C32" s="42" t="s">
        <v>56</v>
      </c>
      <c r="D32" s="5"/>
      <c r="E32" s="14"/>
      <c r="F32" s="7"/>
      <c r="G32" s="7"/>
    </row>
    <row r="33" spans="2:9" x14ac:dyDescent="0.25">
      <c r="B33" s="5" t="s">
        <v>5</v>
      </c>
      <c r="C33" s="42" t="s">
        <v>1</v>
      </c>
      <c r="D33" s="5"/>
      <c r="E33" s="14">
        <f>50000+52000</f>
        <v>102000</v>
      </c>
      <c r="F33" s="7"/>
      <c r="G33" s="7"/>
    </row>
    <row r="34" spans="2:9" x14ac:dyDescent="0.25">
      <c r="B34" s="5" t="s">
        <v>5</v>
      </c>
      <c r="C34" s="42" t="s">
        <v>2</v>
      </c>
      <c r="D34" s="5"/>
      <c r="E34" s="14"/>
      <c r="F34" s="7"/>
      <c r="G34" s="7"/>
    </row>
    <row r="35" spans="2:9" x14ac:dyDescent="0.25">
      <c r="B35" s="5" t="s">
        <v>5</v>
      </c>
      <c r="C35" s="42" t="s">
        <v>11</v>
      </c>
      <c r="E35" s="14"/>
      <c r="F35" s="7"/>
      <c r="G35" s="7"/>
    </row>
    <row r="36" spans="2:9" x14ac:dyDescent="0.25">
      <c r="B36" s="5" t="s">
        <v>5</v>
      </c>
      <c r="C36" s="42" t="s">
        <v>12</v>
      </c>
      <c r="E36" s="7">
        <f>61200+400000+150000</f>
        <v>611200</v>
      </c>
      <c r="F36" s="7"/>
      <c r="G36" s="7"/>
      <c r="I36" t="s">
        <v>48</v>
      </c>
    </row>
    <row r="37" spans="2:9" x14ac:dyDescent="0.25">
      <c r="B37" s="5" t="s">
        <v>5</v>
      </c>
      <c r="C37" s="42" t="s">
        <v>46</v>
      </c>
      <c r="E37" s="7">
        <f>40000+12500000+600000</f>
        <v>13140000</v>
      </c>
      <c r="F37" s="7"/>
      <c r="G37" s="7"/>
    </row>
    <row r="38" spans="2:9" x14ac:dyDescent="0.25">
      <c r="B38" s="5" t="s">
        <v>5</v>
      </c>
      <c r="C38" s="42" t="s">
        <v>42</v>
      </c>
      <c r="E38" s="7">
        <f>1250000+500000+550000+500000</f>
        <v>2800000</v>
      </c>
      <c r="F38" s="7"/>
      <c r="G38" s="7"/>
    </row>
    <row r="39" spans="2:9" x14ac:dyDescent="0.25">
      <c r="B39" s="5" t="s">
        <v>5</v>
      </c>
      <c r="C39" s="42" t="s">
        <v>45</v>
      </c>
      <c r="E39" s="7"/>
      <c r="F39" s="7"/>
      <c r="G39" s="7"/>
    </row>
    <row r="40" spans="2:9" x14ac:dyDescent="0.25">
      <c r="B40" s="5" t="s">
        <v>5</v>
      </c>
      <c r="C40" s="42" t="s">
        <v>40</v>
      </c>
      <c r="E40" s="7">
        <f>10000+100000+96000+100000+29000+47000+93000</f>
        <v>475000</v>
      </c>
      <c r="F40" s="7"/>
      <c r="G40" s="7"/>
    </row>
    <row r="41" spans="2:9" x14ac:dyDescent="0.25">
      <c r="B41" s="5" t="s">
        <v>5</v>
      </c>
      <c r="C41" s="42" t="s">
        <v>13</v>
      </c>
      <c r="E41" s="7">
        <v>0</v>
      </c>
      <c r="F41" s="7"/>
      <c r="G41" s="20"/>
    </row>
    <row r="42" spans="2:9" x14ac:dyDescent="0.25">
      <c r="B42" s="5" t="s">
        <v>5</v>
      </c>
      <c r="C42" s="42" t="s">
        <v>14</v>
      </c>
      <c r="E42" s="7">
        <v>0</v>
      </c>
      <c r="F42" s="7"/>
      <c r="G42" s="20"/>
    </row>
    <row r="43" spans="2:9" x14ac:dyDescent="0.25">
      <c r="B43" s="5" t="s">
        <v>5</v>
      </c>
      <c r="C43" s="42" t="s">
        <v>15</v>
      </c>
      <c r="E43" s="7">
        <f>10000</f>
        <v>10000</v>
      </c>
      <c r="F43" s="7"/>
      <c r="G43" s="20"/>
    </row>
    <row r="44" spans="2:9" x14ac:dyDescent="0.25">
      <c r="B44" s="5" t="s">
        <v>5</v>
      </c>
      <c r="C44" s="42" t="s">
        <v>61</v>
      </c>
      <c r="E44" s="7">
        <f>4255000+22500000+10000000</f>
        <v>36755000</v>
      </c>
      <c r="F44" s="7"/>
      <c r="G44" s="20"/>
    </row>
    <row r="45" spans="2:9" x14ac:dyDescent="0.25">
      <c r="B45" s="5" t="s">
        <v>5</v>
      </c>
      <c r="C45" s="42" t="s">
        <v>16</v>
      </c>
      <c r="E45" s="7"/>
      <c r="F45" s="7"/>
      <c r="G45" s="20"/>
    </row>
    <row r="46" spans="2:9" x14ac:dyDescent="0.25">
      <c r="B46" s="5" t="s">
        <v>5</v>
      </c>
      <c r="C46" s="42" t="s">
        <v>17</v>
      </c>
      <c r="E46" s="7"/>
      <c r="F46" s="7"/>
      <c r="G46" s="20"/>
    </row>
    <row r="47" spans="2:9" x14ac:dyDescent="0.25">
      <c r="B47" s="5" t="s">
        <v>5</v>
      </c>
      <c r="C47" s="42" t="s">
        <v>43</v>
      </c>
      <c r="E47" s="7"/>
      <c r="F47" s="7"/>
      <c r="G47" s="20"/>
    </row>
    <row r="48" spans="2:9" x14ac:dyDescent="0.25">
      <c r="B48" s="5" t="s">
        <v>5</v>
      </c>
      <c r="C48" s="42" t="s">
        <v>27</v>
      </c>
      <c r="E48" s="7"/>
      <c r="F48" s="7"/>
      <c r="G48" s="20"/>
    </row>
    <row r="49" spans="2:7" x14ac:dyDescent="0.25">
      <c r="B49" s="5" t="s">
        <v>5</v>
      </c>
      <c r="C49" s="42" t="s">
        <v>49</v>
      </c>
      <c r="E49" s="7">
        <f>150000+2480000+120000+30000+744000</f>
        <v>3524000</v>
      </c>
      <c r="F49" s="7"/>
      <c r="G49" s="20"/>
    </row>
    <row r="50" spans="2:7" x14ac:dyDescent="0.25">
      <c r="B50" s="5" t="s">
        <v>5</v>
      </c>
      <c r="C50" s="42" t="s">
        <v>18</v>
      </c>
      <c r="E50" s="7">
        <f>250000+6000000+1150000+3000000+20000+1500000+150000+200000+525000+2000000+600000</f>
        <v>15395000</v>
      </c>
      <c r="F50" s="7"/>
      <c r="G50" s="20"/>
    </row>
    <row r="51" spans="2:7" x14ac:dyDescent="0.25">
      <c r="B51" s="5" t="s">
        <v>5</v>
      </c>
      <c r="C51" s="42" t="s">
        <v>30</v>
      </c>
      <c r="E51" s="7">
        <f>204000</f>
        <v>204000</v>
      </c>
      <c r="F51" s="7"/>
      <c r="G51" s="20"/>
    </row>
    <row r="52" spans="2:7" x14ac:dyDescent="0.25">
      <c r="B52" s="5" t="s">
        <v>5</v>
      </c>
      <c r="C52" s="42" t="s">
        <v>31</v>
      </c>
      <c r="E52" s="7"/>
      <c r="F52" s="7"/>
      <c r="G52" s="20"/>
    </row>
    <row r="53" spans="2:7" x14ac:dyDescent="0.25">
      <c r="B53" s="5"/>
      <c r="C53" s="42" t="s">
        <v>47</v>
      </c>
      <c r="E53" s="7">
        <f>1200000+900000+1500000+500000+1000000</f>
        <v>5100000</v>
      </c>
      <c r="F53" s="7"/>
      <c r="G53" s="20"/>
    </row>
    <row r="54" spans="2:7" x14ac:dyDescent="0.25">
      <c r="B54" s="5" t="s">
        <v>5</v>
      </c>
      <c r="C54" s="42" t="s">
        <v>57</v>
      </c>
      <c r="E54" s="7">
        <f>6450000</f>
        <v>6450000</v>
      </c>
      <c r="F54" s="7"/>
      <c r="G54" s="20"/>
    </row>
    <row r="55" spans="2:7" ht="15.75" thickBot="1" x14ac:dyDescent="0.3">
      <c r="B55" s="5" t="s">
        <v>5</v>
      </c>
      <c r="C55" s="42" t="s">
        <v>19</v>
      </c>
      <c r="E55" s="10">
        <v>0</v>
      </c>
      <c r="F55" s="7"/>
      <c r="G55" s="20"/>
    </row>
    <row r="56" spans="2:7" ht="15.75" thickBot="1" x14ac:dyDescent="0.3">
      <c r="B56" s="5" t="s">
        <v>20</v>
      </c>
      <c r="C56" s="42"/>
      <c r="E56" s="7"/>
      <c r="F56" s="23">
        <f>SUM(E30:E55)</f>
        <v>109440200</v>
      </c>
      <c r="G56" s="9"/>
    </row>
    <row r="57" spans="2:7" ht="15.75" thickBot="1" x14ac:dyDescent="0.3">
      <c r="B57" s="11" t="s">
        <v>21</v>
      </c>
      <c r="C57" s="42"/>
      <c r="E57" s="7"/>
      <c r="F57" s="7"/>
      <c r="G57" s="23">
        <f>-SUM(F20:F56)</f>
        <v>-129124311</v>
      </c>
    </row>
    <row r="58" spans="2:7" x14ac:dyDescent="0.25">
      <c r="B58" s="11" t="s">
        <v>22</v>
      </c>
      <c r="C58" s="42"/>
      <c r="D58" s="42"/>
      <c r="E58" s="7"/>
      <c r="F58" s="7"/>
      <c r="G58" s="12">
        <f>+G57</f>
        <v>-129124311</v>
      </c>
    </row>
    <row r="59" spans="2:7" x14ac:dyDescent="0.25">
      <c r="C59" s="42"/>
      <c r="E59" s="7"/>
      <c r="F59" s="7"/>
      <c r="G59" s="9"/>
    </row>
    <row r="60" spans="2:7" x14ac:dyDescent="0.25">
      <c r="B60" t="s">
        <v>23</v>
      </c>
      <c r="E60" s="7"/>
      <c r="F60" s="7"/>
      <c r="G60" s="7"/>
    </row>
    <row r="61" spans="2:7" x14ac:dyDescent="0.25">
      <c r="B61" s="5" t="s">
        <v>5</v>
      </c>
      <c r="C61" t="s">
        <v>26</v>
      </c>
      <c r="E61" s="7"/>
      <c r="F61" s="7"/>
      <c r="G61" s="7"/>
    </row>
    <row r="62" spans="2:7" x14ac:dyDescent="0.25">
      <c r="B62" s="5" t="s">
        <v>5</v>
      </c>
      <c r="E62" s="7"/>
      <c r="F62" s="7"/>
      <c r="G62" s="7"/>
    </row>
    <row r="63" spans="2:7" ht="15.75" thickBot="1" x14ac:dyDescent="0.3">
      <c r="B63" t="s">
        <v>25</v>
      </c>
      <c r="E63" s="7"/>
      <c r="F63" s="7"/>
      <c r="G63" s="32">
        <f>SUM(F60:F62)</f>
        <v>0</v>
      </c>
    </row>
    <row r="64" spans="2:7" x14ac:dyDescent="0.25">
      <c r="B64" s="11" t="s">
        <v>24</v>
      </c>
      <c r="E64" s="7"/>
      <c r="F64" s="7"/>
      <c r="G64" s="31">
        <f>G11+G58</f>
        <v>241172848</v>
      </c>
    </row>
    <row r="65" spans="5:9" x14ac:dyDescent="0.25">
      <c r="E65" s="7"/>
      <c r="F65" s="7"/>
      <c r="G65" s="9"/>
    </row>
    <row r="66" spans="5:9" x14ac:dyDescent="0.25">
      <c r="E66" s="7"/>
      <c r="F66" s="7"/>
      <c r="G66" s="7"/>
    </row>
    <row r="67" spans="5:9" x14ac:dyDescent="0.25">
      <c r="E67" s="7"/>
      <c r="F67" s="7"/>
      <c r="G67" s="7"/>
      <c r="I67" t="s">
        <v>32</v>
      </c>
    </row>
    <row r="68" spans="5:9" x14ac:dyDescent="0.25">
      <c r="E68" s="7"/>
      <c r="F68" s="7"/>
      <c r="G68" s="7"/>
    </row>
    <row r="69" spans="5:9" x14ac:dyDescent="0.25">
      <c r="E69" s="7"/>
      <c r="F69" s="7"/>
      <c r="G69" s="7"/>
    </row>
    <row r="70" spans="5:9" x14ac:dyDescent="0.25">
      <c r="E70" s="7"/>
      <c r="F70" s="7"/>
      <c r="G70" s="7"/>
    </row>
    <row r="71" spans="5:9" x14ac:dyDescent="0.25">
      <c r="E71" s="7"/>
      <c r="F71" s="7"/>
      <c r="G71" s="7"/>
    </row>
    <row r="72" spans="5:9" x14ac:dyDescent="0.25">
      <c r="E72" s="7"/>
      <c r="F72" s="7"/>
      <c r="G72" s="7"/>
    </row>
    <row r="73" spans="5:9" x14ac:dyDescent="0.25">
      <c r="E73" s="7"/>
      <c r="F73" s="7"/>
      <c r="G73" s="7"/>
    </row>
    <row r="74" spans="5:9" x14ac:dyDescent="0.25">
      <c r="E74" s="7"/>
      <c r="F74" s="7"/>
      <c r="G74" s="7"/>
    </row>
    <row r="75" spans="5:9" x14ac:dyDescent="0.25">
      <c r="E75" s="7"/>
      <c r="F75" s="7"/>
      <c r="G75" s="7"/>
    </row>
    <row r="76" spans="5:9" x14ac:dyDescent="0.25">
      <c r="E76" s="7"/>
      <c r="F76" s="7"/>
      <c r="G76" s="7"/>
    </row>
    <row r="77" spans="5:9" x14ac:dyDescent="0.25">
      <c r="E77" s="7"/>
      <c r="F77" s="7"/>
      <c r="G77" s="7"/>
    </row>
  </sheetData>
  <mergeCells count="1">
    <mergeCell ref="C12:D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topLeftCell="A20" workbookViewId="0">
      <selection activeCell="E66" sqref="A1:XFD1048576"/>
    </sheetView>
  </sheetViews>
  <sheetFormatPr defaultRowHeight="15" x14ac:dyDescent="0.25"/>
  <cols>
    <col min="1" max="1" width="4.140625" customWidth="1"/>
    <col min="2" max="2" width="2.42578125" customWidth="1"/>
    <col min="4" max="4" width="35.85546875" customWidth="1"/>
    <col min="5" max="5" width="12.5703125" bestFit="1" customWidth="1"/>
    <col min="6" max="6" width="14.28515625" customWidth="1"/>
    <col min="7" max="7" width="15.140625" customWidth="1"/>
    <col min="8" max="8" width="11.5703125" bestFit="1" customWidth="1"/>
    <col min="9" max="9" width="12" customWidth="1"/>
    <col min="10" max="10" width="11.5703125" bestFit="1" customWidth="1"/>
    <col min="11" max="11" width="12.5703125" bestFit="1" customWidth="1"/>
  </cols>
  <sheetData>
    <row r="1" spans="2:11" ht="17.25" x14ac:dyDescent="0.3">
      <c r="B1" s="1" t="s">
        <v>33</v>
      </c>
      <c r="C1" s="2"/>
      <c r="D1" s="2"/>
    </row>
    <row r="2" spans="2:11" ht="17.25" x14ac:dyDescent="0.3">
      <c r="B2" s="1" t="s">
        <v>3</v>
      </c>
      <c r="C2" s="2"/>
      <c r="D2" s="2"/>
    </row>
    <row r="3" spans="2:11" x14ac:dyDescent="0.25">
      <c r="B3" s="42" t="s">
        <v>62</v>
      </c>
    </row>
    <row r="5" spans="2:11" ht="18.75" x14ac:dyDescent="0.3">
      <c r="B5" s="3"/>
    </row>
    <row r="6" spans="2:11" x14ac:dyDescent="0.25">
      <c r="B6" s="4" t="s">
        <v>34</v>
      </c>
    </row>
    <row r="7" spans="2:11" x14ac:dyDescent="0.25">
      <c r="B7" s="5" t="s">
        <v>4</v>
      </c>
    </row>
    <row r="8" spans="2:11" x14ac:dyDescent="0.25">
      <c r="B8" s="5" t="s">
        <v>35</v>
      </c>
      <c r="C8" s="8"/>
      <c r="D8" s="41"/>
      <c r="E8" s="9"/>
      <c r="F8" s="7">
        <v>304890000</v>
      </c>
      <c r="G8" s="9"/>
      <c r="H8" s="7"/>
      <c r="J8" s="24"/>
    </row>
    <row r="9" spans="2:11" hidden="1" x14ac:dyDescent="0.25">
      <c r="B9" s="5" t="s">
        <v>28</v>
      </c>
      <c r="C9" s="8"/>
      <c r="D9" s="41"/>
      <c r="E9" s="9"/>
      <c r="F9" s="9"/>
      <c r="G9" s="9"/>
      <c r="H9" s="7"/>
      <c r="I9" s="24"/>
      <c r="J9" s="24"/>
    </row>
    <row r="10" spans="2:11" ht="15.75" hidden="1" thickBot="1" x14ac:dyDescent="0.3">
      <c r="B10" s="5" t="s">
        <v>29</v>
      </c>
      <c r="C10" s="41"/>
      <c r="D10" s="41"/>
      <c r="E10" s="9"/>
      <c r="F10" s="28"/>
      <c r="G10" s="9"/>
      <c r="H10" s="7"/>
      <c r="J10" s="6"/>
    </row>
    <row r="11" spans="2:11" x14ac:dyDescent="0.25">
      <c r="B11" s="11" t="s">
        <v>36</v>
      </c>
      <c r="C11" s="41"/>
      <c r="D11" s="41"/>
      <c r="E11" s="9"/>
      <c r="F11" s="7"/>
      <c r="G11" s="12">
        <f>SUM(F8:F10)</f>
        <v>304890000</v>
      </c>
      <c r="H11" s="7"/>
      <c r="K11" s="6"/>
    </row>
    <row r="12" spans="2:11" x14ac:dyDescent="0.25">
      <c r="B12" s="5"/>
      <c r="C12" s="60"/>
      <c r="D12" s="60"/>
      <c r="E12" s="9"/>
      <c r="F12" s="7"/>
      <c r="G12" s="9"/>
      <c r="H12" s="7"/>
    </row>
    <row r="13" spans="2:11" x14ac:dyDescent="0.25">
      <c r="B13" s="5"/>
      <c r="C13" s="41"/>
      <c r="D13" s="41"/>
      <c r="E13" s="9"/>
      <c r="F13" s="7"/>
      <c r="G13" s="9"/>
      <c r="H13" s="7"/>
    </row>
    <row r="14" spans="2:11" x14ac:dyDescent="0.25">
      <c r="B14" s="11" t="s">
        <v>6</v>
      </c>
      <c r="C14" s="5"/>
      <c r="E14" s="7"/>
      <c r="F14" s="7"/>
      <c r="G14" s="7"/>
      <c r="H14" s="7"/>
      <c r="I14" s="42"/>
    </row>
    <row r="15" spans="2:11" x14ac:dyDescent="0.25">
      <c r="B15" s="5" t="s">
        <v>7</v>
      </c>
      <c r="C15" s="5"/>
    </row>
    <row r="16" spans="2:11" x14ac:dyDescent="0.25">
      <c r="B16" t="s">
        <v>5</v>
      </c>
      <c r="C16" s="42" t="s">
        <v>37</v>
      </c>
      <c r="E16" s="7"/>
      <c r="F16" s="7"/>
      <c r="G16" s="20"/>
    </row>
    <row r="17" spans="2:7" x14ac:dyDescent="0.25">
      <c r="B17" s="11" t="s">
        <v>5</v>
      </c>
      <c r="C17" s="42" t="s">
        <v>38</v>
      </c>
      <c r="E17" s="7">
        <v>0</v>
      </c>
      <c r="F17" s="7"/>
      <c r="G17" s="20"/>
    </row>
    <row r="18" spans="2:7" x14ac:dyDescent="0.25">
      <c r="B18" s="11" t="s">
        <v>5</v>
      </c>
      <c r="C18" s="42" t="s">
        <v>39</v>
      </c>
      <c r="E18" s="7">
        <v>0</v>
      </c>
      <c r="F18" s="7"/>
      <c r="G18" s="20"/>
    </row>
    <row r="19" spans="2:7" ht="17.25" x14ac:dyDescent="0.4">
      <c r="B19" s="11" t="s">
        <v>5</v>
      </c>
      <c r="C19" s="42" t="s">
        <v>44</v>
      </c>
      <c r="E19" s="35">
        <f>1068000+20575000</f>
        <v>21643000</v>
      </c>
      <c r="F19" s="7"/>
      <c r="G19" s="20"/>
    </row>
    <row r="20" spans="2:7" x14ac:dyDescent="0.25">
      <c r="B20" s="5" t="s">
        <v>8</v>
      </c>
      <c r="E20" s="36">
        <v>0</v>
      </c>
      <c r="F20" s="36">
        <f>SUM(E16:E19)</f>
        <v>21643000</v>
      </c>
      <c r="G20" s="20"/>
    </row>
    <row r="21" spans="2:7" x14ac:dyDescent="0.25">
      <c r="D21" s="5"/>
      <c r="E21" s="7">
        <v>0</v>
      </c>
      <c r="F21" s="7"/>
      <c r="G21" s="7"/>
    </row>
    <row r="22" spans="2:7" x14ac:dyDescent="0.25">
      <c r="B22" s="40" t="s">
        <v>51</v>
      </c>
      <c r="D22" s="5"/>
      <c r="E22" s="7"/>
      <c r="F22" s="7"/>
      <c r="G22" s="7"/>
    </row>
    <row r="23" spans="2:7" x14ac:dyDescent="0.25">
      <c r="B23" t="s">
        <v>5</v>
      </c>
      <c r="C23" t="s">
        <v>52</v>
      </c>
      <c r="D23" s="5"/>
      <c r="E23" s="7"/>
      <c r="F23" s="7"/>
      <c r="G23" s="7"/>
    </row>
    <row r="24" spans="2:7" x14ac:dyDescent="0.25">
      <c r="B24" t="s">
        <v>5</v>
      </c>
      <c r="C24" t="s">
        <v>53</v>
      </c>
      <c r="D24" s="5"/>
      <c r="E24" s="7">
        <f>600000+170400+1000000+2000000+2000000+1000000+2000000</f>
        <v>8770400</v>
      </c>
      <c r="F24" s="7"/>
      <c r="G24" s="7"/>
    </row>
    <row r="25" spans="2:7" x14ac:dyDescent="0.25">
      <c r="B25" t="s">
        <v>5</v>
      </c>
      <c r="C25" t="s">
        <v>54</v>
      </c>
      <c r="D25" s="5"/>
      <c r="E25" s="7">
        <f>500000+500000+1000000+100000+1400000</f>
        <v>3500000</v>
      </c>
      <c r="F25" s="7"/>
      <c r="G25" s="7"/>
    </row>
    <row r="26" spans="2:7" x14ac:dyDescent="0.25">
      <c r="B26" t="s">
        <v>5</v>
      </c>
      <c r="C26" t="s">
        <v>58</v>
      </c>
      <c r="D26" s="5"/>
      <c r="E26" s="7"/>
      <c r="F26" s="7"/>
      <c r="G26" s="7"/>
    </row>
    <row r="27" spans="2:7" x14ac:dyDescent="0.25">
      <c r="C27" s="40" t="s">
        <v>55</v>
      </c>
      <c r="D27" s="5"/>
      <c r="E27" s="7"/>
      <c r="F27" s="7">
        <f>E23+E24+E25+E26</f>
        <v>12270400</v>
      </c>
      <c r="G27" s="7"/>
    </row>
    <row r="28" spans="2:7" x14ac:dyDescent="0.25">
      <c r="D28" s="5"/>
      <c r="E28" s="7"/>
      <c r="F28" s="7"/>
      <c r="G28" s="7"/>
    </row>
    <row r="29" spans="2:7" x14ac:dyDescent="0.25">
      <c r="B29" s="5" t="s">
        <v>9</v>
      </c>
      <c r="C29" s="5"/>
      <c r="D29" s="5"/>
      <c r="E29" s="22"/>
      <c r="F29" s="7"/>
      <c r="G29" s="7"/>
    </row>
    <row r="30" spans="2:7" x14ac:dyDescent="0.25">
      <c r="B30" s="5" t="s">
        <v>5</v>
      </c>
      <c r="C30" s="42" t="s">
        <v>10</v>
      </c>
      <c r="D30" s="5"/>
      <c r="E30" s="14">
        <f>467000+600000+5000000+3900000+4700000+2000000+8759750</f>
        <v>25426750</v>
      </c>
      <c r="F30" s="7"/>
      <c r="G30" s="7"/>
    </row>
    <row r="31" spans="2:7" x14ac:dyDescent="0.25">
      <c r="B31" s="5" t="s">
        <v>5</v>
      </c>
      <c r="C31" s="42" t="s">
        <v>41</v>
      </c>
      <c r="D31" s="5"/>
      <c r="E31" s="14">
        <f>40000+1434452+200000</f>
        <v>1674452</v>
      </c>
      <c r="F31" s="7"/>
      <c r="G31" s="7"/>
    </row>
    <row r="32" spans="2:7" x14ac:dyDescent="0.25">
      <c r="B32" s="5" t="s">
        <v>5</v>
      </c>
      <c r="C32" s="42" t="s">
        <v>56</v>
      </c>
      <c r="D32" s="5"/>
      <c r="E32" s="14"/>
      <c r="F32" s="7"/>
      <c r="G32" s="7"/>
    </row>
    <row r="33" spans="2:9" x14ac:dyDescent="0.25">
      <c r="B33" s="5" t="s">
        <v>5</v>
      </c>
      <c r="C33" s="42" t="s">
        <v>1</v>
      </c>
      <c r="D33" s="5"/>
      <c r="E33" s="14">
        <v>50000</v>
      </c>
      <c r="F33" s="7"/>
      <c r="G33" s="7"/>
    </row>
    <row r="34" spans="2:9" x14ac:dyDescent="0.25">
      <c r="B34" s="5" t="s">
        <v>5</v>
      </c>
      <c r="C34" s="42" t="s">
        <v>2</v>
      </c>
      <c r="D34" s="5"/>
      <c r="E34" s="14"/>
      <c r="F34" s="7"/>
      <c r="G34" s="7"/>
    </row>
    <row r="35" spans="2:9" x14ac:dyDescent="0.25">
      <c r="B35" s="5" t="s">
        <v>5</v>
      </c>
      <c r="C35" s="42" t="s">
        <v>11</v>
      </c>
      <c r="E35" s="14">
        <f>350000</f>
        <v>350000</v>
      </c>
      <c r="F35" s="7"/>
      <c r="G35" s="7"/>
    </row>
    <row r="36" spans="2:9" x14ac:dyDescent="0.25">
      <c r="B36" s="5" t="s">
        <v>5</v>
      </c>
      <c r="C36" s="42" t="s">
        <v>12</v>
      </c>
      <c r="E36" s="7">
        <f>23500+82500+825000+225000</f>
        <v>1156000</v>
      </c>
      <c r="F36" s="7"/>
      <c r="G36" s="7"/>
      <c r="I36" t="s">
        <v>48</v>
      </c>
    </row>
    <row r="37" spans="2:9" x14ac:dyDescent="0.25">
      <c r="B37" s="5" t="s">
        <v>5</v>
      </c>
      <c r="C37" s="42" t="s">
        <v>46</v>
      </c>
      <c r="E37" s="7">
        <f>2000000+750000+225000</f>
        <v>2975000</v>
      </c>
      <c r="F37" s="7"/>
      <c r="G37" s="7"/>
    </row>
    <row r="38" spans="2:9" x14ac:dyDescent="0.25">
      <c r="B38" s="5" t="s">
        <v>5</v>
      </c>
      <c r="C38" s="42" t="s">
        <v>42</v>
      </c>
      <c r="E38" s="7"/>
      <c r="F38" s="7"/>
      <c r="G38" s="7"/>
    </row>
    <row r="39" spans="2:9" x14ac:dyDescent="0.25">
      <c r="B39" s="5" t="s">
        <v>5</v>
      </c>
      <c r="C39" s="42" t="s">
        <v>45</v>
      </c>
      <c r="E39" s="7"/>
      <c r="F39" s="7"/>
      <c r="G39" s="7"/>
    </row>
    <row r="40" spans="2:9" x14ac:dyDescent="0.25">
      <c r="B40" s="5" t="s">
        <v>5</v>
      </c>
      <c r="C40" s="42" t="s">
        <v>40</v>
      </c>
      <c r="E40" s="7">
        <f>29000</f>
        <v>29000</v>
      </c>
      <c r="F40" s="7"/>
      <c r="G40" s="7"/>
    </row>
    <row r="41" spans="2:9" x14ac:dyDescent="0.25">
      <c r="B41" s="5" t="s">
        <v>5</v>
      </c>
      <c r="C41" s="42" t="s">
        <v>13</v>
      </c>
      <c r="E41" s="7">
        <f>30000</f>
        <v>30000</v>
      </c>
      <c r="F41" s="7"/>
      <c r="G41" s="20"/>
    </row>
    <row r="42" spans="2:9" x14ac:dyDescent="0.25">
      <c r="B42" s="5" t="s">
        <v>5</v>
      </c>
      <c r="C42" s="42" t="s">
        <v>14</v>
      </c>
      <c r="E42" s="7">
        <v>0</v>
      </c>
      <c r="F42" s="7"/>
      <c r="G42" s="20"/>
    </row>
    <row r="43" spans="2:9" x14ac:dyDescent="0.25">
      <c r="B43" s="5" t="s">
        <v>5</v>
      </c>
      <c r="C43" s="42" t="s">
        <v>15</v>
      </c>
      <c r="E43" s="7"/>
      <c r="F43" s="7"/>
      <c r="G43" s="20"/>
    </row>
    <row r="44" spans="2:9" x14ac:dyDescent="0.25">
      <c r="B44" s="5" t="s">
        <v>5</v>
      </c>
      <c r="C44" s="42" t="s">
        <v>61</v>
      </c>
      <c r="E44" s="7">
        <f>1000000+450000</f>
        <v>1450000</v>
      </c>
      <c r="F44" s="7"/>
      <c r="G44" s="20"/>
    </row>
    <row r="45" spans="2:9" x14ac:dyDescent="0.25">
      <c r="B45" s="5" t="s">
        <v>5</v>
      </c>
      <c r="C45" s="42" t="s">
        <v>16</v>
      </c>
      <c r="E45" s="7"/>
      <c r="F45" s="7"/>
      <c r="G45" s="20"/>
    </row>
    <row r="46" spans="2:9" x14ac:dyDescent="0.25">
      <c r="B46" s="5" t="s">
        <v>5</v>
      </c>
      <c r="C46" s="42" t="s">
        <v>17</v>
      </c>
      <c r="E46" s="7">
        <v>383000</v>
      </c>
      <c r="F46" s="7"/>
      <c r="G46" s="20"/>
    </row>
    <row r="47" spans="2:9" x14ac:dyDescent="0.25">
      <c r="B47" s="5" t="s">
        <v>5</v>
      </c>
      <c r="C47" s="42" t="s">
        <v>43</v>
      </c>
      <c r="E47" s="7"/>
      <c r="F47" s="7"/>
      <c r="G47" s="20"/>
    </row>
    <row r="48" spans="2:9" x14ac:dyDescent="0.25">
      <c r="B48" s="5" t="s">
        <v>5</v>
      </c>
      <c r="C48" s="42" t="s">
        <v>27</v>
      </c>
      <c r="E48" s="7"/>
      <c r="F48" s="7"/>
      <c r="G48" s="20"/>
    </row>
    <row r="49" spans="2:7" x14ac:dyDescent="0.25">
      <c r="B49" s="5" t="s">
        <v>5</v>
      </c>
      <c r="C49" s="42" t="s">
        <v>49</v>
      </c>
      <c r="E49" s="7">
        <f>250000</f>
        <v>250000</v>
      </c>
      <c r="F49" s="7"/>
      <c r="G49" s="20"/>
    </row>
    <row r="50" spans="2:7" x14ac:dyDescent="0.25">
      <c r="B50" s="5" t="s">
        <v>5</v>
      </c>
      <c r="C50" s="42" t="s">
        <v>18</v>
      </c>
      <c r="E50" s="7">
        <f>1300000+100000+200000+200000+300000+500000+300000+4600000+9500000</f>
        <v>17000000</v>
      </c>
      <c r="F50" s="7"/>
      <c r="G50" s="20"/>
    </row>
    <row r="51" spans="2:7" x14ac:dyDescent="0.25">
      <c r="B51" s="5" t="s">
        <v>5</v>
      </c>
      <c r="C51" s="42" t="s">
        <v>30</v>
      </c>
      <c r="E51" s="7">
        <f>111322</f>
        <v>111322</v>
      </c>
      <c r="F51" s="7"/>
      <c r="G51" s="20"/>
    </row>
    <row r="52" spans="2:7" x14ac:dyDescent="0.25">
      <c r="B52" s="5" t="s">
        <v>5</v>
      </c>
      <c r="C52" s="42" t="s">
        <v>31</v>
      </c>
      <c r="E52" s="7"/>
      <c r="F52" s="7"/>
      <c r="G52" s="20"/>
    </row>
    <row r="53" spans="2:7" x14ac:dyDescent="0.25">
      <c r="B53" s="5"/>
      <c r="C53" s="42" t="s">
        <v>47</v>
      </c>
      <c r="E53" s="7"/>
      <c r="F53" s="7"/>
      <c r="G53" s="20"/>
    </row>
    <row r="54" spans="2:7" x14ac:dyDescent="0.25">
      <c r="B54" s="5" t="s">
        <v>5</v>
      </c>
      <c r="C54" s="42" t="s">
        <v>57</v>
      </c>
      <c r="E54" s="7">
        <f>15000000</f>
        <v>15000000</v>
      </c>
      <c r="F54" s="7"/>
      <c r="G54" s="20"/>
    </row>
    <row r="55" spans="2:7" ht="15.75" thickBot="1" x14ac:dyDescent="0.3">
      <c r="B55" s="5" t="s">
        <v>5</v>
      </c>
      <c r="C55" s="42" t="s">
        <v>19</v>
      </c>
      <c r="E55" s="10"/>
      <c r="F55" s="7"/>
      <c r="G55" s="20"/>
    </row>
    <row r="56" spans="2:7" ht="15.75" thickBot="1" x14ac:dyDescent="0.3">
      <c r="B56" s="5" t="s">
        <v>20</v>
      </c>
      <c r="C56" s="42"/>
      <c r="E56" s="7"/>
      <c r="F56" s="23">
        <f>SUM(E30:E55)</f>
        <v>65885524</v>
      </c>
      <c r="G56" s="9"/>
    </row>
    <row r="57" spans="2:7" ht="15.75" thickBot="1" x14ac:dyDescent="0.3">
      <c r="B57" s="11" t="s">
        <v>21</v>
      </c>
      <c r="C57" s="42"/>
      <c r="E57" s="7"/>
      <c r="F57" s="7"/>
      <c r="G57" s="23">
        <f>-SUM(F20:F56)</f>
        <v>-99798924</v>
      </c>
    </row>
    <row r="58" spans="2:7" x14ac:dyDescent="0.25">
      <c r="B58" s="11" t="s">
        <v>22</v>
      </c>
      <c r="C58" s="42"/>
      <c r="D58" s="42"/>
      <c r="E58" s="7"/>
      <c r="F58" s="7"/>
      <c r="G58" s="12">
        <f>+G57</f>
        <v>-99798924</v>
      </c>
    </row>
    <row r="59" spans="2:7" x14ac:dyDescent="0.25">
      <c r="C59" s="42"/>
      <c r="E59" s="7"/>
      <c r="F59" s="7"/>
      <c r="G59" s="9"/>
    </row>
    <row r="60" spans="2:7" x14ac:dyDescent="0.25">
      <c r="B60" t="s">
        <v>23</v>
      </c>
      <c r="E60" s="7"/>
      <c r="F60" s="7"/>
      <c r="G60" s="7"/>
    </row>
    <row r="61" spans="2:7" x14ac:dyDescent="0.25">
      <c r="B61" s="5" t="s">
        <v>5</v>
      </c>
      <c r="C61" t="s">
        <v>26</v>
      </c>
      <c r="E61" s="7"/>
      <c r="F61" s="7"/>
      <c r="G61" s="7"/>
    </row>
    <row r="62" spans="2:7" x14ac:dyDescent="0.25">
      <c r="B62" s="5" t="s">
        <v>5</v>
      </c>
      <c r="E62" s="7"/>
      <c r="F62" s="7"/>
      <c r="G62" s="7"/>
    </row>
    <row r="63" spans="2:7" ht="15.75" thickBot="1" x14ac:dyDescent="0.3">
      <c r="B63" t="s">
        <v>25</v>
      </c>
      <c r="E63" s="7"/>
      <c r="F63" s="7"/>
      <c r="G63" s="32">
        <f>SUM(F60:F62)</f>
        <v>0</v>
      </c>
    </row>
    <row r="64" spans="2:7" x14ac:dyDescent="0.25">
      <c r="B64" s="11" t="s">
        <v>24</v>
      </c>
      <c r="E64" s="7"/>
      <c r="F64" s="7"/>
      <c r="G64" s="31">
        <f>G11+G58</f>
        <v>205091076</v>
      </c>
    </row>
    <row r="65" spans="5:9" x14ac:dyDescent="0.25">
      <c r="E65" s="7"/>
      <c r="F65" s="7"/>
      <c r="G65" s="9"/>
    </row>
    <row r="66" spans="5:9" x14ac:dyDescent="0.25">
      <c r="E66" s="7"/>
      <c r="F66" s="7"/>
      <c r="G66" s="7"/>
    </row>
    <row r="67" spans="5:9" x14ac:dyDescent="0.25">
      <c r="E67" s="7"/>
      <c r="F67" s="7"/>
      <c r="G67" s="7"/>
      <c r="I67" t="s">
        <v>32</v>
      </c>
    </row>
    <row r="68" spans="5:9" x14ac:dyDescent="0.25">
      <c r="E68" s="7"/>
      <c r="F68" s="7"/>
      <c r="G68" s="7"/>
    </row>
    <row r="69" spans="5:9" x14ac:dyDescent="0.25">
      <c r="E69" s="7"/>
      <c r="F69" s="7"/>
      <c r="G69" s="7"/>
    </row>
    <row r="70" spans="5:9" x14ac:dyDescent="0.25">
      <c r="E70" s="7"/>
      <c r="F70" s="7"/>
      <c r="G70" s="7"/>
    </row>
    <row r="71" spans="5:9" x14ac:dyDescent="0.25">
      <c r="E71" s="7"/>
      <c r="F71" s="7"/>
      <c r="G71" s="7"/>
    </row>
    <row r="72" spans="5:9" x14ac:dyDescent="0.25">
      <c r="E72" s="7"/>
      <c r="F72" s="7"/>
      <c r="G72" s="7"/>
    </row>
    <row r="73" spans="5:9" x14ac:dyDescent="0.25">
      <c r="E73" s="7"/>
      <c r="F73" s="7"/>
      <c r="G73" s="7"/>
    </row>
    <row r="74" spans="5:9" x14ac:dyDescent="0.25">
      <c r="E74" s="7"/>
      <c r="F74" s="7"/>
      <c r="G74" s="7"/>
    </row>
    <row r="75" spans="5:9" x14ac:dyDescent="0.25">
      <c r="E75" s="7"/>
      <c r="F75" s="7"/>
      <c r="G75" s="7"/>
    </row>
    <row r="76" spans="5:9" x14ac:dyDescent="0.25">
      <c r="E76" s="7"/>
      <c r="F76" s="7"/>
      <c r="G76" s="7"/>
    </row>
    <row r="77" spans="5:9" x14ac:dyDescent="0.25">
      <c r="E77" s="7"/>
      <c r="F77" s="7"/>
      <c r="G77" s="7"/>
    </row>
  </sheetData>
  <mergeCells count="1">
    <mergeCell ref="C12:D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topLeftCell="A21" workbookViewId="0">
      <selection activeCell="E28" sqref="A1:XFD1048576"/>
    </sheetView>
  </sheetViews>
  <sheetFormatPr defaultRowHeight="15" x14ac:dyDescent="0.25"/>
  <cols>
    <col min="1" max="1" width="4.140625" customWidth="1"/>
    <col min="2" max="2" width="2.42578125" customWidth="1"/>
    <col min="4" max="4" width="35.85546875" customWidth="1"/>
    <col min="5" max="5" width="12.5703125" bestFit="1" customWidth="1"/>
    <col min="6" max="6" width="14.28515625" customWidth="1"/>
    <col min="7" max="7" width="15.140625" customWidth="1"/>
    <col min="8" max="8" width="11.5703125" bestFit="1" customWidth="1"/>
    <col min="9" max="9" width="12" customWidth="1"/>
    <col min="10" max="10" width="11.5703125" bestFit="1" customWidth="1"/>
    <col min="11" max="11" width="12.5703125" bestFit="1" customWidth="1"/>
  </cols>
  <sheetData>
    <row r="1" spans="2:11" ht="17.25" x14ac:dyDescent="0.3">
      <c r="B1" s="1" t="s">
        <v>33</v>
      </c>
      <c r="C1" s="2"/>
      <c r="D1" s="2"/>
    </row>
    <row r="2" spans="2:11" ht="17.25" x14ac:dyDescent="0.3">
      <c r="B2" s="1" t="s">
        <v>3</v>
      </c>
      <c r="C2" s="2"/>
      <c r="D2" s="2"/>
    </row>
    <row r="3" spans="2:11" x14ac:dyDescent="0.25">
      <c r="B3" s="42" t="s">
        <v>63</v>
      </c>
    </row>
    <row r="5" spans="2:11" ht="18.75" x14ac:dyDescent="0.3">
      <c r="B5" s="3"/>
    </row>
    <row r="6" spans="2:11" x14ac:dyDescent="0.25">
      <c r="B6" s="4" t="s">
        <v>34</v>
      </c>
    </row>
    <row r="7" spans="2:11" x14ac:dyDescent="0.25">
      <c r="B7" s="5" t="s">
        <v>4</v>
      </c>
    </row>
    <row r="8" spans="2:11" x14ac:dyDescent="0.25">
      <c r="B8" s="5" t="s">
        <v>35</v>
      </c>
      <c r="C8" s="8"/>
      <c r="D8" s="41"/>
      <c r="E8" s="9"/>
      <c r="F8" s="7">
        <v>30000000</v>
      </c>
      <c r="G8" s="9"/>
      <c r="H8" s="7"/>
      <c r="J8" s="24"/>
    </row>
    <row r="9" spans="2:11" hidden="1" x14ac:dyDescent="0.25">
      <c r="B9" s="5" t="s">
        <v>28</v>
      </c>
      <c r="C9" s="8"/>
      <c r="D9" s="41"/>
      <c r="E9" s="9"/>
      <c r="F9" s="9"/>
      <c r="G9" s="9"/>
      <c r="H9" s="7"/>
      <c r="I9" s="24"/>
      <c r="J9" s="24"/>
    </row>
    <row r="10" spans="2:11" ht="15.75" hidden="1" thickBot="1" x14ac:dyDescent="0.3">
      <c r="B10" s="5" t="s">
        <v>29</v>
      </c>
      <c r="C10" s="41"/>
      <c r="D10" s="41"/>
      <c r="E10" s="9"/>
      <c r="F10" s="28"/>
      <c r="G10" s="9"/>
      <c r="H10" s="7"/>
      <c r="J10" s="6"/>
    </row>
    <row r="11" spans="2:11" x14ac:dyDescent="0.25">
      <c r="B11" s="11" t="s">
        <v>36</v>
      </c>
      <c r="C11" s="41"/>
      <c r="D11" s="41"/>
      <c r="E11" s="9"/>
      <c r="F11" s="7"/>
      <c r="G11" s="12">
        <f>SUM(F8:F10)</f>
        <v>30000000</v>
      </c>
      <c r="H11" s="7"/>
      <c r="K11" s="6"/>
    </row>
    <row r="12" spans="2:11" x14ac:dyDescent="0.25">
      <c r="B12" s="5"/>
      <c r="C12" s="60"/>
      <c r="D12" s="60"/>
      <c r="E12" s="9"/>
      <c r="F12" s="7"/>
      <c r="G12" s="9"/>
      <c r="H12" s="7"/>
    </row>
    <row r="13" spans="2:11" x14ac:dyDescent="0.25">
      <c r="B13" s="5"/>
      <c r="C13" s="41"/>
      <c r="D13" s="41"/>
      <c r="E13" s="9"/>
      <c r="F13" s="7"/>
      <c r="G13" s="9"/>
      <c r="H13" s="7"/>
    </row>
    <row r="14" spans="2:11" x14ac:dyDescent="0.25">
      <c r="B14" s="11" t="s">
        <v>6</v>
      </c>
      <c r="C14" s="5"/>
      <c r="E14" s="7"/>
      <c r="F14" s="7"/>
      <c r="G14" s="7"/>
      <c r="H14" s="7"/>
      <c r="I14" s="42"/>
    </row>
    <row r="15" spans="2:11" x14ac:dyDescent="0.25">
      <c r="B15" s="5" t="s">
        <v>7</v>
      </c>
      <c r="C15" s="5"/>
    </row>
    <row r="16" spans="2:11" x14ac:dyDescent="0.25">
      <c r="B16" t="s">
        <v>5</v>
      </c>
      <c r="C16" s="42" t="s">
        <v>37</v>
      </c>
      <c r="E16" s="7"/>
      <c r="F16" s="7"/>
      <c r="G16" s="20"/>
    </row>
    <row r="17" spans="2:7" x14ac:dyDescent="0.25">
      <c r="B17" s="11" t="s">
        <v>5</v>
      </c>
      <c r="C17" s="42" t="s">
        <v>38</v>
      </c>
      <c r="E17" s="7">
        <v>0</v>
      </c>
      <c r="F17" s="7"/>
      <c r="G17" s="20"/>
    </row>
    <row r="18" spans="2:7" x14ac:dyDescent="0.25">
      <c r="B18" s="11" t="s">
        <v>5</v>
      </c>
      <c r="C18" s="42" t="s">
        <v>39</v>
      </c>
      <c r="E18" s="7">
        <v>0</v>
      </c>
      <c r="F18" s="7"/>
      <c r="G18" s="20"/>
    </row>
    <row r="19" spans="2:7" ht="17.25" x14ac:dyDescent="0.4">
      <c r="B19" s="11" t="s">
        <v>5</v>
      </c>
      <c r="C19" s="42" t="s">
        <v>44</v>
      </c>
      <c r="E19" s="35">
        <f>5000000</f>
        <v>5000000</v>
      </c>
      <c r="F19" s="7"/>
      <c r="G19" s="20"/>
    </row>
    <row r="20" spans="2:7" x14ac:dyDescent="0.25">
      <c r="B20" s="5" t="s">
        <v>8</v>
      </c>
      <c r="E20" s="36">
        <v>0</v>
      </c>
      <c r="F20" s="36">
        <f>SUM(E16:E19)</f>
        <v>5000000</v>
      </c>
      <c r="G20" s="20"/>
    </row>
    <row r="21" spans="2:7" x14ac:dyDescent="0.25">
      <c r="D21" s="5"/>
      <c r="E21" s="7">
        <v>0</v>
      </c>
      <c r="F21" s="7"/>
      <c r="G21" s="7"/>
    </row>
    <row r="22" spans="2:7" x14ac:dyDescent="0.25">
      <c r="B22" s="40" t="s">
        <v>51</v>
      </c>
      <c r="D22" s="5"/>
      <c r="E22" s="7"/>
      <c r="F22" s="7"/>
      <c r="G22" s="7"/>
    </row>
    <row r="23" spans="2:7" x14ac:dyDescent="0.25">
      <c r="B23" t="s">
        <v>5</v>
      </c>
      <c r="C23" t="s">
        <v>52</v>
      </c>
      <c r="D23" s="5"/>
      <c r="E23" s="7"/>
      <c r="F23" s="7"/>
      <c r="G23" s="7"/>
    </row>
    <row r="24" spans="2:7" x14ac:dyDescent="0.25">
      <c r="B24" t="s">
        <v>5</v>
      </c>
      <c r="C24" t="s">
        <v>53</v>
      </c>
      <c r="D24" s="5"/>
      <c r="E24" s="7">
        <f>2000000+1000000</f>
        <v>3000000</v>
      </c>
      <c r="F24" s="7"/>
      <c r="G24" s="7"/>
    </row>
    <row r="25" spans="2:7" x14ac:dyDescent="0.25">
      <c r="B25" t="s">
        <v>5</v>
      </c>
      <c r="C25" t="s">
        <v>54</v>
      </c>
      <c r="D25" s="5"/>
      <c r="E25" s="7">
        <f>1000000+1000000</f>
        <v>2000000</v>
      </c>
      <c r="F25" s="7"/>
      <c r="G25" s="7"/>
    </row>
    <row r="26" spans="2:7" x14ac:dyDescent="0.25">
      <c r="B26" t="s">
        <v>5</v>
      </c>
      <c r="C26" t="s">
        <v>58</v>
      </c>
      <c r="D26" s="5"/>
      <c r="E26" s="7"/>
      <c r="F26" s="7"/>
      <c r="G26" s="7"/>
    </row>
    <row r="27" spans="2:7" x14ac:dyDescent="0.25">
      <c r="C27" s="40" t="s">
        <v>55</v>
      </c>
      <c r="D27" s="5"/>
      <c r="E27" s="7"/>
      <c r="F27" s="7">
        <f>E23+E24+E25+E26</f>
        <v>5000000</v>
      </c>
      <c r="G27" s="7"/>
    </row>
    <row r="28" spans="2:7" x14ac:dyDescent="0.25">
      <c r="D28" s="5"/>
      <c r="E28" s="7"/>
      <c r="F28" s="7"/>
      <c r="G28" s="7"/>
    </row>
    <row r="29" spans="2:7" x14ac:dyDescent="0.25">
      <c r="B29" s="5" t="s">
        <v>9</v>
      </c>
      <c r="C29" s="5"/>
      <c r="D29" s="5"/>
      <c r="E29" s="22"/>
      <c r="F29" s="7"/>
      <c r="G29" s="7"/>
    </row>
    <row r="30" spans="2:7" x14ac:dyDescent="0.25">
      <c r="B30" s="5" t="s">
        <v>5</v>
      </c>
      <c r="C30" s="42" t="s">
        <v>10</v>
      </c>
      <c r="D30" s="5"/>
      <c r="E30" s="14">
        <f>2000000</f>
        <v>2000000</v>
      </c>
      <c r="F30" s="7"/>
      <c r="G30" s="7"/>
    </row>
    <row r="31" spans="2:7" x14ac:dyDescent="0.25">
      <c r="B31" s="5" t="s">
        <v>5</v>
      </c>
      <c r="C31" s="42" t="s">
        <v>41</v>
      </c>
      <c r="D31" s="5"/>
      <c r="E31" s="14">
        <f>100000</f>
        <v>100000</v>
      </c>
      <c r="F31" s="7"/>
      <c r="G31" s="7"/>
    </row>
    <row r="32" spans="2:7" x14ac:dyDescent="0.25">
      <c r="B32" s="5" t="s">
        <v>5</v>
      </c>
      <c r="C32" s="42" t="s">
        <v>56</v>
      </c>
      <c r="D32" s="5"/>
      <c r="E32" s="14"/>
      <c r="F32" s="7"/>
      <c r="G32" s="7"/>
    </row>
    <row r="33" spans="2:9" x14ac:dyDescent="0.25">
      <c r="B33" s="5" t="s">
        <v>5</v>
      </c>
      <c r="C33" s="42" t="s">
        <v>1</v>
      </c>
      <c r="D33" s="5"/>
      <c r="E33" s="14">
        <f>52000</f>
        <v>52000</v>
      </c>
      <c r="F33" s="7"/>
      <c r="G33" s="7"/>
    </row>
    <row r="34" spans="2:9" x14ac:dyDescent="0.25">
      <c r="B34" s="5" t="s">
        <v>5</v>
      </c>
      <c r="C34" s="42" t="s">
        <v>2</v>
      </c>
      <c r="D34" s="5"/>
      <c r="E34" s="14"/>
      <c r="F34" s="7"/>
      <c r="G34" s="7"/>
    </row>
    <row r="35" spans="2:9" x14ac:dyDescent="0.25">
      <c r="B35" s="5" t="s">
        <v>5</v>
      </c>
      <c r="C35" s="42" t="s">
        <v>11</v>
      </c>
      <c r="E35" s="14"/>
      <c r="F35" s="7"/>
      <c r="G35" s="7"/>
    </row>
    <row r="36" spans="2:9" x14ac:dyDescent="0.25">
      <c r="B36" s="5" t="s">
        <v>5</v>
      </c>
      <c r="C36" s="42" t="s">
        <v>12</v>
      </c>
      <c r="E36" s="7">
        <f>43000+12000</f>
        <v>55000</v>
      </c>
      <c r="F36" s="7"/>
      <c r="G36" s="7"/>
      <c r="I36" t="s">
        <v>48</v>
      </c>
    </row>
    <row r="37" spans="2:9" x14ac:dyDescent="0.25">
      <c r="B37" s="5" t="s">
        <v>5</v>
      </c>
      <c r="C37" s="42" t="s">
        <v>46</v>
      </c>
      <c r="E37" s="7"/>
      <c r="F37" s="7"/>
      <c r="G37" s="7"/>
    </row>
    <row r="38" spans="2:9" x14ac:dyDescent="0.25">
      <c r="B38" s="5" t="s">
        <v>5</v>
      </c>
      <c r="C38" s="42" t="s">
        <v>42</v>
      </c>
      <c r="E38" s="7"/>
      <c r="F38" s="7"/>
      <c r="G38" s="7"/>
    </row>
    <row r="39" spans="2:9" x14ac:dyDescent="0.25">
      <c r="B39" s="5" t="s">
        <v>5</v>
      </c>
      <c r="C39" s="42" t="s">
        <v>45</v>
      </c>
      <c r="E39" s="7"/>
      <c r="F39" s="7"/>
      <c r="G39" s="7"/>
    </row>
    <row r="40" spans="2:9" x14ac:dyDescent="0.25">
      <c r="B40" s="5" t="s">
        <v>5</v>
      </c>
      <c r="C40" s="42" t="s">
        <v>40</v>
      </c>
      <c r="E40" s="7">
        <f>29000</f>
        <v>29000</v>
      </c>
      <c r="F40" s="7"/>
      <c r="G40" s="7"/>
    </row>
    <row r="41" spans="2:9" x14ac:dyDescent="0.25">
      <c r="B41" s="5" t="s">
        <v>5</v>
      </c>
      <c r="C41" s="42" t="s">
        <v>13</v>
      </c>
      <c r="E41" s="7"/>
      <c r="F41" s="7"/>
      <c r="G41" s="20"/>
    </row>
    <row r="42" spans="2:9" x14ac:dyDescent="0.25">
      <c r="B42" s="5" t="s">
        <v>5</v>
      </c>
      <c r="C42" s="42" t="s">
        <v>14</v>
      </c>
      <c r="E42" s="7"/>
      <c r="F42" s="7"/>
      <c r="G42" s="20"/>
    </row>
    <row r="43" spans="2:9" x14ac:dyDescent="0.25">
      <c r="B43" s="5" t="s">
        <v>5</v>
      </c>
      <c r="C43" s="42" t="s">
        <v>15</v>
      </c>
      <c r="E43" s="7"/>
      <c r="F43" s="7"/>
      <c r="G43" s="20"/>
    </row>
    <row r="44" spans="2:9" x14ac:dyDescent="0.25">
      <c r="B44" s="5" t="s">
        <v>5</v>
      </c>
      <c r="C44" s="42" t="s">
        <v>61</v>
      </c>
      <c r="E44" s="7">
        <f>15000000+500000</f>
        <v>15500000</v>
      </c>
      <c r="F44" s="7"/>
      <c r="G44" s="20"/>
    </row>
    <row r="45" spans="2:9" x14ac:dyDescent="0.25">
      <c r="B45" s="5" t="s">
        <v>5</v>
      </c>
      <c r="C45" s="42" t="s">
        <v>16</v>
      </c>
      <c r="E45" s="7"/>
      <c r="F45" s="7"/>
      <c r="G45" s="20"/>
    </row>
    <row r="46" spans="2:9" x14ac:dyDescent="0.25">
      <c r="B46" s="5" t="s">
        <v>5</v>
      </c>
      <c r="C46" s="42" t="s">
        <v>17</v>
      </c>
      <c r="E46" s="7"/>
      <c r="F46" s="7"/>
      <c r="G46" s="20"/>
    </row>
    <row r="47" spans="2:9" x14ac:dyDescent="0.25">
      <c r="B47" s="5" t="s">
        <v>5</v>
      </c>
      <c r="C47" s="42" t="s">
        <v>43</v>
      </c>
      <c r="E47" s="7"/>
      <c r="F47" s="7"/>
      <c r="G47" s="20"/>
    </row>
    <row r="48" spans="2:9" x14ac:dyDescent="0.25">
      <c r="B48" s="5" t="s">
        <v>5</v>
      </c>
      <c r="C48" s="42" t="s">
        <v>27</v>
      </c>
      <c r="E48" s="7"/>
      <c r="F48" s="7"/>
      <c r="G48" s="20"/>
    </row>
    <row r="49" spans="2:7" x14ac:dyDescent="0.25">
      <c r="B49" s="5" t="s">
        <v>5</v>
      </c>
      <c r="C49" s="42" t="s">
        <v>49</v>
      </c>
      <c r="E49" s="7"/>
      <c r="F49" s="7"/>
      <c r="G49" s="20"/>
    </row>
    <row r="50" spans="2:7" x14ac:dyDescent="0.25">
      <c r="B50" s="5" t="s">
        <v>5</v>
      </c>
      <c r="C50" s="42" t="s">
        <v>18</v>
      </c>
      <c r="E50" s="7">
        <f>2650000+150000+180000+150000</f>
        <v>3130000</v>
      </c>
      <c r="F50" s="7"/>
      <c r="G50" s="20"/>
    </row>
    <row r="51" spans="2:7" x14ac:dyDescent="0.25">
      <c r="B51" s="5" t="s">
        <v>5</v>
      </c>
      <c r="C51" s="42" t="s">
        <v>30</v>
      </c>
      <c r="E51" s="7"/>
      <c r="F51" s="7"/>
      <c r="G51" s="20"/>
    </row>
    <row r="52" spans="2:7" x14ac:dyDescent="0.25">
      <c r="B52" s="5" t="s">
        <v>5</v>
      </c>
      <c r="C52" s="42" t="s">
        <v>31</v>
      </c>
      <c r="E52" s="7"/>
      <c r="F52" s="7"/>
      <c r="G52" s="20"/>
    </row>
    <row r="53" spans="2:7" x14ac:dyDescent="0.25">
      <c r="B53" s="5"/>
      <c r="C53" s="42" t="s">
        <v>47</v>
      </c>
      <c r="E53" s="7"/>
      <c r="F53" s="7"/>
      <c r="G53" s="20"/>
    </row>
    <row r="54" spans="2:7" x14ac:dyDescent="0.25">
      <c r="B54" s="5" t="s">
        <v>5</v>
      </c>
      <c r="C54" s="42" t="s">
        <v>57</v>
      </c>
      <c r="E54" s="7"/>
      <c r="F54" s="7"/>
      <c r="G54" s="20"/>
    </row>
    <row r="55" spans="2:7" ht="15.75" thickBot="1" x14ac:dyDescent="0.3">
      <c r="B55" s="5" t="s">
        <v>5</v>
      </c>
      <c r="C55" s="42" t="s">
        <v>19</v>
      </c>
      <c r="E55" s="10"/>
      <c r="F55" s="7"/>
      <c r="G55" s="20"/>
    </row>
    <row r="56" spans="2:7" ht="15.75" thickBot="1" x14ac:dyDescent="0.3">
      <c r="B56" s="5" t="s">
        <v>20</v>
      </c>
      <c r="C56" s="42"/>
      <c r="E56" s="7"/>
      <c r="F56" s="23">
        <f>SUM(E30:E55)</f>
        <v>20866000</v>
      </c>
      <c r="G56" s="9"/>
    </row>
    <row r="57" spans="2:7" ht="15.75" thickBot="1" x14ac:dyDescent="0.3">
      <c r="B57" s="11" t="s">
        <v>21</v>
      </c>
      <c r="C57" s="42"/>
      <c r="E57" s="7"/>
      <c r="F57" s="7"/>
      <c r="G57" s="23">
        <f>-SUM(F20:F56)</f>
        <v>-30866000</v>
      </c>
    </row>
    <row r="58" spans="2:7" x14ac:dyDescent="0.25">
      <c r="B58" s="11" t="s">
        <v>22</v>
      </c>
      <c r="C58" s="42"/>
      <c r="D58" s="42"/>
      <c r="E58" s="7"/>
      <c r="F58" s="7"/>
      <c r="G58" s="12">
        <f>+G57</f>
        <v>-30866000</v>
      </c>
    </row>
    <row r="59" spans="2:7" x14ac:dyDescent="0.25">
      <c r="C59" s="42"/>
      <c r="E59" s="7"/>
      <c r="F59" s="7"/>
      <c r="G59" s="9"/>
    </row>
    <row r="60" spans="2:7" x14ac:dyDescent="0.25">
      <c r="B60" t="s">
        <v>23</v>
      </c>
      <c r="E60" s="7"/>
      <c r="F60" s="7"/>
      <c r="G60" s="7"/>
    </row>
    <row r="61" spans="2:7" x14ac:dyDescent="0.25">
      <c r="B61" s="5" t="s">
        <v>5</v>
      </c>
      <c r="C61" t="s">
        <v>26</v>
      </c>
      <c r="E61" s="7"/>
      <c r="F61" s="7"/>
      <c r="G61" s="7"/>
    </row>
    <row r="62" spans="2:7" x14ac:dyDescent="0.25">
      <c r="B62" s="5" t="s">
        <v>5</v>
      </c>
      <c r="E62" s="7"/>
      <c r="F62" s="7"/>
      <c r="G62" s="7"/>
    </row>
    <row r="63" spans="2:7" ht="15.75" thickBot="1" x14ac:dyDescent="0.3">
      <c r="B63" t="s">
        <v>25</v>
      </c>
      <c r="E63" s="7"/>
      <c r="F63" s="7"/>
      <c r="G63" s="32">
        <f>SUM(F60:F62)</f>
        <v>0</v>
      </c>
    </row>
    <row r="64" spans="2:7" x14ac:dyDescent="0.25">
      <c r="B64" s="11" t="s">
        <v>24</v>
      </c>
      <c r="E64" s="7"/>
      <c r="F64" s="7"/>
      <c r="G64" s="31">
        <f>G11+G58</f>
        <v>-866000</v>
      </c>
    </row>
    <row r="65" spans="5:9" x14ac:dyDescent="0.25">
      <c r="E65" s="7"/>
      <c r="F65" s="7"/>
      <c r="G65" s="9"/>
    </row>
    <row r="66" spans="5:9" x14ac:dyDescent="0.25">
      <c r="E66" s="7"/>
      <c r="F66" s="7"/>
      <c r="G66" s="7"/>
    </row>
    <row r="67" spans="5:9" x14ac:dyDescent="0.25">
      <c r="E67" s="7"/>
      <c r="F67" s="7"/>
      <c r="G67" s="7"/>
      <c r="I67" t="s">
        <v>32</v>
      </c>
    </row>
    <row r="68" spans="5:9" x14ac:dyDescent="0.25">
      <c r="E68" s="7"/>
      <c r="F68" s="7"/>
      <c r="G68" s="7"/>
    </row>
    <row r="69" spans="5:9" x14ac:dyDescent="0.25">
      <c r="E69" s="7"/>
      <c r="F69" s="7"/>
      <c r="G69" s="7"/>
    </row>
    <row r="70" spans="5:9" x14ac:dyDescent="0.25">
      <c r="E70" s="7"/>
      <c r="F70" s="7"/>
      <c r="G70" s="7"/>
    </row>
    <row r="71" spans="5:9" x14ac:dyDescent="0.25">
      <c r="E71" s="7"/>
      <c r="F71" s="7"/>
      <c r="G71" s="7"/>
    </row>
    <row r="72" spans="5:9" x14ac:dyDescent="0.25">
      <c r="E72" s="7"/>
      <c r="F72" s="7"/>
      <c r="G72" s="7"/>
    </row>
    <row r="73" spans="5:9" x14ac:dyDescent="0.25">
      <c r="E73" s="7"/>
      <c r="F73" s="7"/>
      <c r="G73" s="7"/>
    </row>
    <row r="74" spans="5:9" x14ac:dyDescent="0.25">
      <c r="E74" s="7"/>
      <c r="F74" s="7"/>
      <c r="G74" s="7"/>
    </row>
    <row r="75" spans="5:9" x14ac:dyDescent="0.25">
      <c r="E75" s="7"/>
      <c r="F75" s="7"/>
      <c r="G75" s="7"/>
    </row>
    <row r="76" spans="5:9" x14ac:dyDescent="0.25">
      <c r="E76" s="7"/>
      <c r="F76" s="7"/>
      <c r="G76" s="7"/>
    </row>
    <row r="77" spans="5:9" x14ac:dyDescent="0.25">
      <c r="E77" s="7"/>
      <c r="F77" s="7"/>
      <c r="G77" s="7"/>
    </row>
  </sheetData>
  <mergeCells count="1">
    <mergeCell ref="C12: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8"/>
  <sheetViews>
    <sheetView topLeftCell="A20" workbookViewId="0">
      <selection activeCell="E14" sqref="E14"/>
    </sheetView>
  </sheetViews>
  <sheetFormatPr defaultRowHeight="15" x14ac:dyDescent="0.25"/>
  <cols>
    <col min="1" max="1" width="4.140625" customWidth="1"/>
    <col min="2" max="2" width="2.42578125" customWidth="1"/>
    <col min="4" max="4" width="35.85546875" customWidth="1"/>
    <col min="5" max="5" width="12.5703125" bestFit="1" customWidth="1"/>
    <col min="6" max="6" width="14.28515625" customWidth="1"/>
    <col min="7" max="7" width="15.140625" customWidth="1"/>
    <col min="8" max="8" width="11.5703125" bestFit="1" customWidth="1"/>
    <col min="9" max="9" width="12" customWidth="1"/>
    <col min="10" max="10" width="11.5703125" bestFit="1" customWidth="1"/>
    <col min="11" max="11" width="12.5703125" bestFit="1" customWidth="1"/>
  </cols>
  <sheetData>
    <row r="1" spans="2:11" ht="17.25" x14ac:dyDescent="0.3">
      <c r="B1" s="1" t="s">
        <v>33</v>
      </c>
      <c r="C1" s="2"/>
      <c r="D1" s="2"/>
    </row>
    <row r="2" spans="2:11" ht="17.25" x14ac:dyDescent="0.3">
      <c r="B2" s="1" t="s">
        <v>3</v>
      </c>
      <c r="C2" s="2"/>
      <c r="D2" s="2"/>
    </row>
    <row r="3" spans="2:11" x14ac:dyDescent="0.25">
      <c r="B3" s="42" t="s">
        <v>64</v>
      </c>
    </row>
    <row r="5" spans="2:11" ht="18.75" x14ac:dyDescent="0.3">
      <c r="B5" s="3"/>
    </row>
    <row r="6" spans="2:11" x14ac:dyDescent="0.25">
      <c r="B6" s="4" t="s">
        <v>34</v>
      </c>
    </row>
    <row r="7" spans="2:11" x14ac:dyDescent="0.25">
      <c r="B7" s="5" t="s">
        <v>4</v>
      </c>
    </row>
    <row r="8" spans="2:11" x14ac:dyDescent="0.25">
      <c r="B8" s="5" t="s">
        <v>35</v>
      </c>
      <c r="C8" s="8"/>
      <c r="D8" s="41"/>
      <c r="E8" s="9"/>
      <c r="F8" s="7">
        <v>300000000</v>
      </c>
      <c r="G8" s="9"/>
      <c r="H8" s="7"/>
      <c r="J8" s="24"/>
    </row>
    <row r="9" spans="2:11" hidden="1" x14ac:dyDescent="0.25">
      <c r="B9" s="5" t="s">
        <v>28</v>
      </c>
      <c r="C9" s="8"/>
      <c r="D9" s="41"/>
      <c r="E9" s="9"/>
      <c r="F9" s="9"/>
      <c r="G9" s="9"/>
      <c r="H9" s="7"/>
      <c r="I9" s="24"/>
      <c r="J9" s="24"/>
    </row>
    <row r="10" spans="2:11" ht="15.75" hidden="1" thickBot="1" x14ac:dyDescent="0.3">
      <c r="B10" s="5" t="s">
        <v>29</v>
      </c>
      <c r="C10" s="41"/>
      <c r="D10" s="41"/>
      <c r="E10" s="9"/>
      <c r="F10" s="28"/>
      <c r="G10" s="9"/>
      <c r="H10" s="7"/>
      <c r="J10" s="6"/>
    </row>
    <row r="11" spans="2:11" x14ac:dyDescent="0.25">
      <c r="B11" s="11" t="s">
        <v>36</v>
      </c>
      <c r="C11" s="41"/>
      <c r="D11" s="41"/>
      <c r="E11" s="9"/>
      <c r="F11" s="7"/>
      <c r="G11" s="12">
        <f>SUM(F8:F10)</f>
        <v>300000000</v>
      </c>
      <c r="H11" s="7"/>
      <c r="K11" s="6"/>
    </row>
    <row r="12" spans="2:11" x14ac:dyDescent="0.25">
      <c r="B12" s="5"/>
      <c r="C12" s="60"/>
      <c r="D12" s="60"/>
      <c r="E12" s="9"/>
      <c r="F12" s="7"/>
      <c r="G12" s="9"/>
      <c r="H12" s="7"/>
    </row>
    <row r="13" spans="2:11" x14ac:dyDescent="0.25">
      <c r="B13" s="5"/>
      <c r="C13" s="41"/>
      <c r="D13" s="41"/>
      <c r="E13" s="9"/>
      <c r="F13" s="7"/>
      <c r="G13" s="9"/>
      <c r="H13" s="7"/>
    </row>
    <row r="14" spans="2:11" x14ac:dyDescent="0.25">
      <c r="B14" s="11" t="s">
        <v>6</v>
      </c>
      <c r="C14" s="5"/>
      <c r="E14" s="7"/>
      <c r="F14" s="7"/>
      <c r="G14" s="7"/>
      <c r="H14" s="7"/>
      <c r="I14" s="42"/>
    </row>
    <row r="15" spans="2:11" x14ac:dyDescent="0.25">
      <c r="B15" s="5" t="s">
        <v>7</v>
      </c>
      <c r="C15" s="5"/>
    </row>
    <row r="16" spans="2:11" x14ac:dyDescent="0.25">
      <c r="B16" t="s">
        <v>5</v>
      </c>
      <c r="C16" s="42" t="s">
        <v>37</v>
      </c>
      <c r="E16" s="7">
        <f>130000+50000+100000</f>
        <v>280000</v>
      </c>
      <c r="F16" s="7"/>
      <c r="G16" s="20"/>
    </row>
    <row r="17" spans="2:9" x14ac:dyDescent="0.25">
      <c r="B17" s="11" t="s">
        <v>5</v>
      </c>
      <c r="C17" s="42" t="s">
        <v>38</v>
      </c>
      <c r="E17" s="7">
        <v>0</v>
      </c>
      <c r="F17" s="7"/>
      <c r="G17" s="20"/>
    </row>
    <row r="18" spans="2:9" x14ac:dyDescent="0.25">
      <c r="B18" s="11" t="s">
        <v>5</v>
      </c>
      <c r="C18" s="42" t="s">
        <v>39</v>
      </c>
      <c r="E18" s="7">
        <v>0</v>
      </c>
      <c r="F18" s="7"/>
      <c r="G18" s="20"/>
    </row>
    <row r="19" spans="2:9" ht="17.25" x14ac:dyDescent="0.4">
      <c r="B19" s="11" t="s">
        <v>5</v>
      </c>
      <c r="C19" s="42" t="s">
        <v>44</v>
      </c>
      <c r="E19" s="35">
        <f>23800000+25000000+9000000+2000000+17575740</f>
        <v>77375740</v>
      </c>
      <c r="F19" s="7"/>
      <c r="G19" s="20"/>
    </row>
    <row r="20" spans="2:9" x14ac:dyDescent="0.25">
      <c r="B20" s="5" t="s">
        <v>8</v>
      </c>
      <c r="E20" s="36">
        <v>0</v>
      </c>
      <c r="F20" s="36">
        <f>SUM(E16:E19)</f>
        <v>77655740</v>
      </c>
      <c r="G20" s="20"/>
    </row>
    <row r="21" spans="2:9" x14ac:dyDescent="0.25">
      <c r="D21" s="5"/>
      <c r="E21" s="7">
        <v>0</v>
      </c>
      <c r="F21" s="7"/>
      <c r="G21" s="7"/>
    </row>
    <row r="22" spans="2:9" x14ac:dyDescent="0.25">
      <c r="B22" s="5" t="s">
        <v>9</v>
      </c>
      <c r="C22" s="5"/>
      <c r="D22" s="5"/>
      <c r="E22" s="22"/>
      <c r="F22" s="7"/>
      <c r="G22" s="7"/>
    </row>
    <row r="23" spans="2:9" x14ac:dyDescent="0.25">
      <c r="B23" s="5" t="s">
        <v>5</v>
      </c>
      <c r="C23" s="42" t="s">
        <v>10</v>
      </c>
      <c r="D23" s="5"/>
      <c r="E23" s="14"/>
      <c r="F23" s="7"/>
      <c r="G23" s="7"/>
    </row>
    <row r="24" spans="2:9" x14ac:dyDescent="0.25">
      <c r="B24" s="5" t="s">
        <v>5</v>
      </c>
      <c r="C24" s="42" t="s">
        <v>41</v>
      </c>
      <c r="D24" s="5"/>
      <c r="E24" s="14">
        <f>300000+100000+200000+15000+200000+140000+100000+100000+70000+240000+100000+50000+150000+950000+990000+100000+50000+600000+2300000</f>
        <v>6755000</v>
      </c>
      <c r="F24" s="7"/>
      <c r="G24" s="7"/>
    </row>
    <row r="25" spans="2:9" x14ac:dyDescent="0.25">
      <c r="B25" s="5" t="s">
        <v>5</v>
      </c>
      <c r="C25" s="42" t="s">
        <v>0</v>
      </c>
      <c r="D25" s="5"/>
      <c r="E25" s="14"/>
      <c r="F25" s="7"/>
      <c r="G25" s="7"/>
    </row>
    <row r="26" spans="2:9" x14ac:dyDescent="0.25">
      <c r="B26" s="5" t="s">
        <v>5</v>
      </c>
      <c r="C26" s="42" t="s">
        <v>1</v>
      </c>
      <c r="D26" s="5"/>
      <c r="E26" s="14">
        <f>22000+22000</f>
        <v>44000</v>
      </c>
      <c r="F26" s="7"/>
      <c r="G26" s="7"/>
    </row>
    <row r="27" spans="2:9" x14ac:dyDescent="0.25">
      <c r="B27" s="5" t="s">
        <v>5</v>
      </c>
      <c r="C27" s="42" t="s">
        <v>2</v>
      </c>
      <c r="D27" s="5"/>
      <c r="E27" s="14"/>
      <c r="F27" s="7"/>
      <c r="G27" s="7"/>
    </row>
    <row r="28" spans="2:9" x14ac:dyDescent="0.25">
      <c r="B28" s="5" t="s">
        <v>5</v>
      </c>
      <c r="C28" s="42" t="s">
        <v>11</v>
      </c>
      <c r="E28" s="14"/>
      <c r="F28" s="7"/>
      <c r="G28" s="7"/>
    </row>
    <row r="29" spans="2:9" x14ac:dyDescent="0.25">
      <c r="B29" s="5" t="s">
        <v>5</v>
      </c>
      <c r="C29" s="42" t="s">
        <v>12</v>
      </c>
      <c r="E29" s="7">
        <f>40000+24000+30000+23000+23000+127000+33000+43000+70000+157000+55500+16000+36500</f>
        <v>678000</v>
      </c>
      <c r="F29" s="7"/>
      <c r="G29" s="7"/>
      <c r="I29" t="s">
        <v>48</v>
      </c>
    </row>
    <row r="30" spans="2:9" x14ac:dyDescent="0.25">
      <c r="B30" s="5" t="s">
        <v>5</v>
      </c>
      <c r="C30" s="42" t="s">
        <v>46</v>
      </c>
      <c r="E30" s="7">
        <f>25000000</f>
        <v>25000000</v>
      </c>
      <c r="F30" s="7"/>
      <c r="G30" s="7"/>
    </row>
    <row r="31" spans="2:9" x14ac:dyDescent="0.25">
      <c r="B31" s="5" t="s">
        <v>5</v>
      </c>
      <c r="C31" s="42" t="s">
        <v>42</v>
      </c>
      <c r="E31" s="7">
        <f>500000+1400000</f>
        <v>1900000</v>
      </c>
      <c r="F31" s="7"/>
      <c r="G31" s="7"/>
    </row>
    <row r="32" spans="2:9" x14ac:dyDescent="0.25">
      <c r="B32" s="5" t="s">
        <v>5</v>
      </c>
      <c r="C32" s="42" t="s">
        <v>45</v>
      </c>
      <c r="E32" s="7">
        <v>0</v>
      </c>
      <c r="F32" s="7"/>
      <c r="G32" s="7"/>
    </row>
    <row r="33" spans="2:7" x14ac:dyDescent="0.25">
      <c r="B33" s="5" t="s">
        <v>5</v>
      </c>
      <c r="C33" s="42" t="s">
        <v>40</v>
      </c>
      <c r="E33" s="7">
        <f>192000+93500+39000+72900+63000+311500+49000+158000+50000+85000</f>
        <v>1113900</v>
      </c>
      <c r="F33" s="7"/>
      <c r="G33" s="7"/>
    </row>
    <row r="34" spans="2:7" x14ac:dyDescent="0.25">
      <c r="B34" s="5" t="s">
        <v>5</v>
      </c>
      <c r="C34" s="42" t="s">
        <v>13</v>
      </c>
      <c r="E34" s="7"/>
      <c r="F34" s="7"/>
      <c r="G34" s="20"/>
    </row>
    <row r="35" spans="2:7" x14ac:dyDescent="0.25">
      <c r="B35" s="5" t="s">
        <v>5</v>
      </c>
      <c r="C35" s="42" t="s">
        <v>14</v>
      </c>
      <c r="E35" s="7">
        <f>33000</f>
        <v>33000</v>
      </c>
      <c r="F35" s="7"/>
      <c r="G35" s="20"/>
    </row>
    <row r="36" spans="2:7" x14ac:dyDescent="0.25">
      <c r="B36" s="5" t="s">
        <v>5</v>
      </c>
      <c r="C36" s="42" t="s">
        <v>15</v>
      </c>
      <c r="E36" s="7"/>
      <c r="F36" s="7"/>
      <c r="G36" s="20"/>
    </row>
    <row r="37" spans="2:7" x14ac:dyDescent="0.25">
      <c r="B37" s="5" t="s">
        <v>5</v>
      </c>
      <c r="C37" s="42" t="s">
        <v>16</v>
      </c>
      <c r="E37" s="7"/>
      <c r="F37" s="7"/>
      <c r="G37" s="20"/>
    </row>
    <row r="38" spans="2:7" x14ac:dyDescent="0.25">
      <c r="B38" s="5" t="s">
        <v>5</v>
      </c>
      <c r="C38" s="42" t="s">
        <v>17</v>
      </c>
      <c r="E38" s="7">
        <f>198000</f>
        <v>198000</v>
      </c>
      <c r="F38" s="7"/>
      <c r="G38" s="20"/>
    </row>
    <row r="39" spans="2:7" x14ac:dyDescent="0.25">
      <c r="B39" s="5" t="s">
        <v>5</v>
      </c>
      <c r="C39" s="42" t="s">
        <v>43</v>
      </c>
      <c r="E39" s="7"/>
      <c r="F39" s="7"/>
      <c r="G39" s="20"/>
    </row>
    <row r="40" spans="2:7" x14ac:dyDescent="0.25">
      <c r="B40" s="5" t="s">
        <v>5</v>
      </c>
      <c r="C40" s="42" t="s">
        <v>27</v>
      </c>
      <c r="E40" s="7"/>
      <c r="F40" s="7"/>
      <c r="G40" s="20"/>
    </row>
    <row r="41" spans="2:7" x14ac:dyDescent="0.25">
      <c r="B41" s="5" t="s">
        <v>5</v>
      </c>
      <c r="C41" s="42" t="s">
        <v>49</v>
      </c>
      <c r="E41" s="7">
        <f>1659000+225000</f>
        <v>1884000</v>
      </c>
      <c r="F41" s="7"/>
      <c r="G41" s="20"/>
    </row>
    <row r="42" spans="2:7" x14ac:dyDescent="0.25">
      <c r="B42" s="5" t="s">
        <v>5</v>
      </c>
      <c r="C42" s="42" t="s">
        <v>18</v>
      </c>
      <c r="E42" s="7"/>
      <c r="F42" s="7"/>
      <c r="G42" s="20"/>
    </row>
    <row r="43" spans="2:7" x14ac:dyDescent="0.25">
      <c r="B43" s="5" t="s">
        <v>5</v>
      </c>
      <c r="C43" s="42" t="s">
        <v>30</v>
      </c>
      <c r="E43" s="7"/>
      <c r="F43" s="7"/>
      <c r="G43" s="20"/>
    </row>
    <row r="44" spans="2:7" x14ac:dyDescent="0.25">
      <c r="B44" s="5" t="s">
        <v>5</v>
      </c>
      <c r="C44" s="42" t="s">
        <v>31</v>
      </c>
      <c r="E44" s="7"/>
      <c r="F44" s="7"/>
      <c r="G44" s="20"/>
    </row>
    <row r="45" spans="2:7" x14ac:dyDescent="0.25">
      <c r="B45" s="5"/>
      <c r="C45" s="42" t="s">
        <v>47</v>
      </c>
      <c r="E45" s="7">
        <f>1170000+735000+1600000+1000000</f>
        <v>4505000</v>
      </c>
      <c r="F45" s="7"/>
      <c r="G45" s="20"/>
    </row>
    <row r="46" spans="2:7" ht="15.75" thickBot="1" x14ac:dyDescent="0.3">
      <c r="B46" s="5" t="s">
        <v>5</v>
      </c>
      <c r="C46" s="42" t="s">
        <v>19</v>
      </c>
      <c r="E46" s="10">
        <f>'[1]Neraca Mar-Okt 2016'!$E$14+13033-32081+31078+76640+59910+48180</f>
        <v>3096760</v>
      </c>
      <c r="F46" s="7"/>
      <c r="G46" s="20"/>
    </row>
    <row r="47" spans="2:7" ht="15.75" thickBot="1" x14ac:dyDescent="0.3">
      <c r="B47" s="5" t="s">
        <v>20</v>
      </c>
      <c r="C47" s="42"/>
      <c r="E47" s="7"/>
      <c r="F47" s="23">
        <f>SUM(E23:E46)</f>
        <v>45207660</v>
      </c>
      <c r="G47" s="9"/>
    </row>
    <row r="48" spans="2:7" ht="15.75" thickBot="1" x14ac:dyDescent="0.3">
      <c r="B48" s="11" t="s">
        <v>21</v>
      </c>
      <c r="C48" s="42"/>
      <c r="E48" s="7"/>
      <c r="F48" s="7"/>
      <c r="G48" s="23">
        <f>-SUM(F20:F47)</f>
        <v>-122863400</v>
      </c>
    </row>
    <row r="49" spans="2:9" x14ac:dyDescent="0.25">
      <c r="B49" s="11" t="s">
        <v>22</v>
      </c>
      <c r="C49" s="42"/>
      <c r="D49" s="42"/>
      <c r="E49" s="7"/>
      <c r="F49" s="7"/>
      <c r="G49" s="12">
        <f>+G48</f>
        <v>-122863400</v>
      </c>
    </row>
    <row r="50" spans="2:9" x14ac:dyDescent="0.25">
      <c r="C50" s="42"/>
      <c r="E50" s="7"/>
      <c r="F50" s="7"/>
      <c r="G50" s="9"/>
    </row>
    <row r="51" spans="2:9" x14ac:dyDescent="0.25">
      <c r="B51" t="s">
        <v>23</v>
      </c>
      <c r="E51" s="7"/>
      <c r="F51" s="7"/>
      <c r="G51" s="7"/>
    </row>
    <row r="52" spans="2:9" x14ac:dyDescent="0.25">
      <c r="B52" s="5" t="s">
        <v>5</v>
      </c>
      <c r="C52" t="s">
        <v>26</v>
      </c>
      <c r="E52" s="7"/>
      <c r="F52" s="7"/>
      <c r="G52" s="7"/>
    </row>
    <row r="53" spans="2:9" x14ac:dyDescent="0.25">
      <c r="B53" s="5" t="s">
        <v>5</v>
      </c>
      <c r="E53" s="7"/>
      <c r="F53" s="7"/>
      <c r="G53" s="7"/>
    </row>
    <row r="54" spans="2:9" ht="15.75" thickBot="1" x14ac:dyDescent="0.3">
      <c r="B54" t="s">
        <v>25</v>
      </c>
      <c r="E54" s="7"/>
      <c r="F54" s="7"/>
      <c r="G54" s="32">
        <f>SUM(F51:F53)</f>
        <v>0</v>
      </c>
    </row>
    <row r="55" spans="2:9" x14ac:dyDescent="0.25">
      <c r="B55" s="11" t="s">
        <v>24</v>
      </c>
      <c r="E55" s="7"/>
      <c r="F55" s="7"/>
      <c r="G55" s="31">
        <f>G11+G49</f>
        <v>177136600</v>
      </c>
    </row>
    <row r="56" spans="2:9" x14ac:dyDescent="0.25">
      <c r="E56" s="7"/>
      <c r="F56" s="7"/>
      <c r="G56" s="9"/>
    </row>
    <row r="57" spans="2:9" x14ac:dyDescent="0.25">
      <c r="E57" s="7"/>
      <c r="F57" s="7"/>
      <c r="G57" s="7"/>
    </row>
    <row r="58" spans="2:9" x14ac:dyDescent="0.25">
      <c r="E58" s="7"/>
      <c r="F58" s="7"/>
      <c r="G58" s="7"/>
      <c r="I58" t="s">
        <v>32</v>
      </c>
    </row>
    <row r="59" spans="2:9" x14ac:dyDescent="0.25">
      <c r="E59" s="7"/>
      <c r="F59" s="7"/>
      <c r="G59" s="7"/>
    </row>
    <row r="60" spans="2:9" x14ac:dyDescent="0.25">
      <c r="E60" s="7"/>
      <c r="F60" s="7"/>
      <c r="G60" s="7"/>
    </row>
    <row r="61" spans="2:9" x14ac:dyDescent="0.25">
      <c r="E61" s="7"/>
      <c r="F61" s="7"/>
      <c r="G61" s="7"/>
    </row>
    <row r="62" spans="2:9" x14ac:dyDescent="0.25">
      <c r="E62" s="7"/>
      <c r="F62" s="7"/>
      <c r="G62" s="7"/>
    </row>
    <row r="63" spans="2:9" x14ac:dyDescent="0.25">
      <c r="E63" s="7"/>
      <c r="F63" s="7"/>
      <c r="G63" s="7"/>
    </row>
    <row r="64" spans="2:9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</sheetData>
  <mergeCells count="1">
    <mergeCell ref="C12:D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tabSelected="1" workbookViewId="0">
      <selection activeCell="E8" sqref="E8"/>
    </sheetView>
  </sheetViews>
  <sheetFormatPr defaultRowHeight="15" x14ac:dyDescent="0.25"/>
  <cols>
    <col min="1" max="1" width="4.140625" customWidth="1"/>
    <col min="2" max="2" width="2.42578125" customWidth="1"/>
    <col min="4" max="4" width="35.85546875" customWidth="1"/>
    <col min="5" max="5" width="12.5703125" bestFit="1" customWidth="1"/>
    <col min="6" max="6" width="14.28515625" customWidth="1"/>
    <col min="7" max="7" width="16.7109375" customWidth="1"/>
    <col min="8" max="8" width="11.5703125" bestFit="1" customWidth="1"/>
    <col min="9" max="9" width="12" customWidth="1"/>
    <col min="10" max="10" width="11.5703125" bestFit="1" customWidth="1"/>
    <col min="11" max="11" width="12.5703125" bestFit="1" customWidth="1"/>
  </cols>
  <sheetData>
    <row r="1" spans="2:11" ht="17.25" x14ac:dyDescent="0.3">
      <c r="B1" s="1" t="s">
        <v>33</v>
      </c>
      <c r="C1" s="2"/>
      <c r="D1" s="2"/>
    </row>
    <row r="2" spans="2:11" ht="17.25" x14ac:dyDescent="0.3">
      <c r="B2" s="1" t="s">
        <v>3</v>
      </c>
      <c r="C2" s="2"/>
      <c r="D2" s="2"/>
    </row>
    <row r="3" spans="2:11" x14ac:dyDescent="0.25">
      <c r="B3" s="42" t="s">
        <v>66</v>
      </c>
    </row>
    <row r="5" spans="2:11" ht="18.75" x14ac:dyDescent="0.3">
      <c r="B5" s="3"/>
    </row>
    <row r="6" spans="2:11" x14ac:dyDescent="0.25">
      <c r="B6" s="4" t="s">
        <v>34</v>
      </c>
    </row>
    <row r="7" spans="2:11" x14ac:dyDescent="0.25">
      <c r="B7" s="5" t="s">
        <v>4</v>
      </c>
      <c r="F7" s="6"/>
      <c r="G7" s="6">
        <f>Desember!G11+'Januari 2017'!G11+fEBRUARI!G11+Maret!G11+Sheet4!G11+529262841</f>
        <v>1875000000</v>
      </c>
    </row>
    <row r="8" spans="2:11" x14ac:dyDescent="0.25">
      <c r="B8" s="5" t="s">
        <v>35</v>
      </c>
      <c r="C8" s="8"/>
      <c r="D8" s="41"/>
      <c r="E8" s="9"/>
      <c r="F8" s="7"/>
      <c r="G8" s="9"/>
      <c r="H8" s="7"/>
      <c r="J8" s="24"/>
    </row>
    <row r="9" spans="2:11" hidden="1" x14ac:dyDescent="0.25">
      <c r="B9" s="5" t="s">
        <v>28</v>
      </c>
      <c r="C9" s="8"/>
      <c r="D9" s="41"/>
      <c r="E9" s="9"/>
      <c r="F9" s="9"/>
      <c r="G9" s="9"/>
      <c r="H9" s="7"/>
      <c r="I9" s="24"/>
      <c r="J9" s="24"/>
    </row>
    <row r="10" spans="2:11" ht="15.75" hidden="1" thickBot="1" x14ac:dyDescent="0.3">
      <c r="B10" s="5" t="s">
        <v>29</v>
      </c>
      <c r="C10" s="41"/>
      <c r="D10" s="41"/>
      <c r="E10" s="9"/>
      <c r="F10" s="28"/>
      <c r="G10" s="9"/>
      <c r="H10" s="7"/>
      <c r="J10" s="6"/>
    </row>
    <row r="11" spans="2:11" x14ac:dyDescent="0.25">
      <c r="B11" s="11" t="s">
        <v>36</v>
      </c>
      <c r="C11" s="41"/>
      <c r="D11" s="41"/>
      <c r="E11" s="9"/>
      <c r="F11" s="7"/>
      <c r="G11" s="12">
        <f>G7</f>
        <v>1875000000</v>
      </c>
      <c r="H11" s="7"/>
      <c r="K11" s="6"/>
    </row>
    <row r="12" spans="2:11" x14ac:dyDescent="0.25">
      <c r="B12" s="5"/>
      <c r="C12" s="60"/>
      <c r="D12" s="60"/>
      <c r="E12" s="9"/>
      <c r="F12" s="7"/>
      <c r="G12" s="9"/>
      <c r="H12" s="7"/>
    </row>
    <row r="13" spans="2:11" x14ac:dyDescent="0.25">
      <c r="B13" s="5"/>
      <c r="C13" s="41"/>
      <c r="D13" s="41"/>
      <c r="E13" s="9"/>
      <c r="F13" s="7"/>
      <c r="G13" s="9"/>
      <c r="H13" s="7"/>
    </row>
    <row r="14" spans="2:11" x14ac:dyDescent="0.25">
      <c r="B14" s="11" t="s">
        <v>6</v>
      </c>
      <c r="C14" s="5"/>
      <c r="E14" s="7"/>
      <c r="F14" s="7"/>
      <c r="G14" s="7"/>
      <c r="H14" s="7"/>
      <c r="I14" s="42"/>
    </row>
    <row r="15" spans="2:11" x14ac:dyDescent="0.25">
      <c r="B15" s="5" t="s">
        <v>7</v>
      </c>
      <c r="C15" s="5"/>
    </row>
    <row r="16" spans="2:11" x14ac:dyDescent="0.25">
      <c r="B16" t="s">
        <v>5</v>
      </c>
      <c r="C16" s="42" t="s">
        <v>37</v>
      </c>
      <c r="E16" s="7">
        <f>Desember!E16+'Januari 2017'!E16+fEBRUARI!E16+Maret!E16+Sheet4!E16</f>
        <v>3780000</v>
      </c>
      <c r="F16" s="7"/>
      <c r="G16" s="20"/>
    </row>
    <row r="17" spans="2:7" x14ac:dyDescent="0.25">
      <c r="B17" s="11" t="s">
        <v>5</v>
      </c>
      <c r="C17" s="42" t="s">
        <v>38</v>
      </c>
      <c r="E17" s="7">
        <v>186450000</v>
      </c>
      <c r="F17" s="7"/>
      <c r="G17" s="20"/>
    </row>
    <row r="18" spans="2:7" x14ac:dyDescent="0.25">
      <c r="B18" s="11" t="s">
        <v>5</v>
      </c>
      <c r="C18" s="42" t="s">
        <v>39</v>
      </c>
      <c r="E18" s="7">
        <v>159870000</v>
      </c>
      <c r="F18" s="7"/>
      <c r="G18" s="20"/>
    </row>
    <row r="19" spans="2:7" ht="17.25" x14ac:dyDescent="0.4">
      <c r="B19" s="11" t="s">
        <v>5</v>
      </c>
      <c r="C19" s="42" t="s">
        <v>44</v>
      </c>
      <c r="E19" s="35">
        <f>Desember!E19+'Januari 2017'!E19+fEBRUARI!E19+Maret!E19+Sheet4!E19</f>
        <v>171725851</v>
      </c>
      <c r="F19" s="7"/>
      <c r="G19" s="20"/>
    </row>
    <row r="20" spans="2:7" x14ac:dyDescent="0.25">
      <c r="B20" s="5" t="s">
        <v>8</v>
      </c>
      <c r="E20" s="36"/>
      <c r="F20" s="36">
        <f>SUM(E16:E19)</f>
        <v>521825851</v>
      </c>
      <c r="G20" s="20"/>
    </row>
    <row r="21" spans="2:7" x14ac:dyDescent="0.25">
      <c r="D21" s="5"/>
      <c r="E21" s="7"/>
      <c r="F21" s="7"/>
      <c r="G21" s="7"/>
    </row>
    <row r="22" spans="2:7" x14ac:dyDescent="0.25">
      <c r="B22" s="40" t="s">
        <v>51</v>
      </c>
      <c r="D22" s="5"/>
      <c r="E22" s="7"/>
      <c r="F22" s="7"/>
      <c r="G22" s="7"/>
    </row>
    <row r="23" spans="2:7" x14ac:dyDescent="0.25">
      <c r="B23" t="s">
        <v>5</v>
      </c>
      <c r="C23" t="s">
        <v>52</v>
      </c>
      <c r="D23" s="5"/>
      <c r="E23" s="7">
        <f>Desember!E23+'Januari 2017'!E23+fEBRUARI!E23+Maret!E23</f>
        <v>5692500</v>
      </c>
      <c r="F23" s="7"/>
      <c r="G23" s="7"/>
    </row>
    <row r="24" spans="2:7" x14ac:dyDescent="0.25">
      <c r="B24" t="s">
        <v>5</v>
      </c>
      <c r="C24" t="s">
        <v>53</v>
      </c>
      <c r="D24" s="5"/>
      <c r="E24" s="7">
        <f>Desember!E24+'Januari 2017'!E24+fEBRUARI!E24+Maret!E24</f>
        <v>23873400</v>
      </c>
      <c r="F24" s="7"/>
      <c r="G24" s="7"/>
    </row>
    <row r="25" spans="2:7" x14ac:dyDescent="0.25">
      <c r="B25" t="s">
        <v>5</v>
      </c>
      <c r="C25" t="s">
        <v>54</v>
      </c>
      <c r="D25" s="5"/>
      <c r="E25" s="7">
        <f>Desember!E25+'Januari 2017'!E25+fEBRUARI!E25+Maret!E25</f>
        <v>16005000</v>
      </c>
      <c r="F25" s="7"/>
      <c r="G25" s="7"/>
    </row>
    <row r="26" spans="2:7" x14ac:dyDescent="0.25">
      <c r="B26" t="s">
        <v>5</v>
      </c>
      <c r="C26" t="s">
        <v>58</v>
      </c>
      <c r="D26" s="5"/>
      <c r="E26" s="7">
        <v>66000000</v>
      </c>
      <c r="F26" s="7"/>
      <c r="G26" s="7"/>
    </row>
    <row r="27" spans="2:7" x14ac:dyDescent="0.25">
      <c r="C27" s="40" t="s">
        <v>55</v>
      </c>
      <c r="D27" s="5"/>
      <c r="E27" s="7"/>
      <c r="F27" s="7">
        <f>E23+E24+E25+E26</f>
        <v>111570900</v>
      </c>
      <c r="G27" s="7"/>
    </row>
    <row r="28" spans="2:7" x14ac:dyDescent="0.25">
      <c r="D28" s="5"/>
      <c r="E28" s="7"/>
      <c r="F28" s="7"/>
      <c r="G28" s="7"/>
    </row>
    <row r="29" spans="2:7" x14ac:dyDescent="0.25">
      <c r="B29" s="5" t="s">
        <v>9</v>
      </c>
      <c r="C29" s="5"/>
      <c r="D29" s="5"/>
      <c r="E29" s="22"/>
      <c r="F29" s="7"/>
      <c r="G29" s="7"/>
    </row>
    <row r="30" spans="2:7" x14ac:dyDescent="0.25">
      <c r="B30" s="5" t="s">
        <v>5</v>
      </c>
      <c r="C30" s="42" t="s">
        <v>10</v>
      </c>
      <c r="D30" s="5"/>
      <c r="E30" s="14">
        <f>Desember!E30+'Januari 2017'!E30+fEBRUARI!E30+Maret!E30+Sheet4!E24</f>
        <v>102581749</v>
      </c>
      <c r="F30" s="7"/>
      <c r="G30" s="7"/>
    </row>
    <row r="31" spans="2:7" x14ac:dyDescent="0.25">
      <c r="B31" s="5" t="s">
        <v>5</v>
      </c>
      <c r="C31" s="42" t="s">
        <v>41</v>
      </c>
      <c r="D31" s="5"/>
      <c r="E31" s="14">
        <v>14400000</v>
      </c>
      <c r="F31" s="7"/>
      <c r="G31" s="7"/>
    </row>
    <row r="32" spans="2:7" x14ac:dyDescent="0.25">
      <c r="B32" s="5" t="s">
        <v>5</v>
      </c>
      <c r="C32" s="42" t="s">
        <v>56</v>
      </c>
      <c r="D32" s="5"/>
      <c r="E32" s="14">
        <v>25300000</v>
      </c>
      <c r="F32" s="7"/>
      <c r="G32" s="7"/>
    </row>
    <row r="33" spans="2:9" x14ac:dyDescent="0.25">
      <c r="B33" s="5" t="s">
        <v>5</v>
      </c>
      <c r="C33" s="42" t="s">
        <v>1</v>
      </c>
      <c r="D33" s="5"/>
      <c r="E33" s="14">
        <v>1800000</v>
      </c>
      <c r="F33" s="7"/>
      <c r="G33" s="7"/>
    </row>
    <row r="34" spans="2:9" x14ac:dyDescent="0.25">
      <c r="B34" s="5" t="s">
        <v>5</v>
      </c>
      <c r="C34" s="42" t="s">
        <v>2</v>
      </c>
      <c r="D34" s="5"/>
      <c r="E34" s="14">
        <v>3600000</v>
      </c>
      <c r="F34" s="7"/>
      <c r="G34" s="7"/>
    </row>
    <row r="35" spans="2:9" x14ac:dyDescent="0.25">
      <c r="B35" s="5" t="s">
        <v>5</v>
      </c>
      <c r="C35" s="42" t="s">
        <v>11</v>
      </c>
      <c r="E35" s="14">
        <v>4200000</v>
      </c>
      <c r="F35" s="7"/>
      <c r="G35" s="7"/>
    </row>
    <row r="36" spans="2:9" x14ac:dyDescent="0.25">
      <c r="B36" s="5" t="s">
        <v>5</v>
      </c>
      <c r="C36" s="42" t="s">
        <v>12</v>
      </c>
      <c r="E36" s="7">
        <v>2436700</v>
      </c>
      <c r="F36" s="7"/>
      <c r="G36" s="7"/>
      <c r="I36" t="s">
        <v>48</v>
      </c>
    </row>
    <row r="37" spans="2:9" x14ac:dyDescent="0.25">
      <c r="B37" s="5" t="s">
        <v>5</v>
      </c>
      <c r="C37" s="42" t="s">
        <v>46</v>
      </c>
      <c r="E37" s="7">
        <v>175000000</v>
      </c>
      <c r="F37" s="7"/>
      <c r="G37" s="7"/>
    </row>
    <row r="38" spans="2:9" x14ac:dyDescent="0.25">
      <c r="B38" s="5" t="s">
        <v>5</v>
      </c>
      <c r="C38" s="42" t="s">
        <v>42</v>
      </c>
      <c r="E38" s="7">
        <v>24000000</v>
      </c>
      <c r="F38" s="7"/>
      <c r="G38" s="7"/>
    </row>
    <row r="39" spans="2:9" x14ac:dyDescent="0.25">
      <c r="B39" s="5" t="s">
        <v>5</v>
      </c>
      <c r="C39" s="42" t="s">
        <v>45</v>
      </c>
      <c r="E39" s="7">
        <v>15000000</v>
      </c>
      <c r="F39" s="7"/>
      <c r="G39" s="7"/>
    </row>
    <row r="40" spans="2:9" x14ac:dyDescent="0.25">
      <c r="B40" s="5" t="s">
        <v>5</v>
      </c>
      <c r="C40" s="42" t="s">
        <v>40</v>
      </c>
      <c r="E40" s="7">
        <v>457000</v>
      </c>
      <c r="F40" s="7"/>
      <c r="G40" s="7"/>
    </row>
    <row r="41" spans="2:9" x14ac:dyDescent="0.25">
      <c r="B41" s="5" t="s">
        <v>5</v>
      </c>
      <c r="C41" s="42" t="s">
        <v>13</v>
      </c>
      <c r="E41" s="7">
        <v>124650</v>
      </c>
      <c r="F41" s="7"/>
      <c r="G41" s="20"/>
    </row>
    <row r="42" spans="2:9" x14ac:dyDescent="0.25">
      <c r="B42" s="5" t="s">
        <v>5</v>
      </c>
      <c r="C42" s="42" t="s">
        <v>14</v>
      </c>
      <c r="E42" s="7">
        <v>186000</v>
      </c>
      <c r="F42" s="7"/>
      <c r="G42" s="20"/>
    </row>
    <row r="43" spans="2:9" x14ac:dyDescent="0.25">
      <c r="B43" s="5" t="s">
        <v>5</v>
      </c>
      <c r="C43" s="42" t="s">
        <v>15</v>
      </c>
      <c r="E43" s="7">
        <v>600000</v>
      </c>
      <c r="F43" s="7"/>
      <c r="G43" s="20"/>
    </row>
    <row r="44" spans="2:9" x14ac:dyDescent="0.25">
      <c r="B44" s="5" t="s">
        <v>5</v>
      </c>
      <c r="C44" s="42" t="s">
        <v>59</v>
      </c>
      <c r="E44" s="7">
        <v>156000000</v>
      </c>
      <c r="F44" s="7"/>
      <c r="G44" s="20"/>
    </row>
    <row r="45" spans="2:9" x14ac:dyDescent="0.25">
      <c r="B45" s="5" t="s">
        <v>5</v>
      </c>
      <c r="C45" s="42" t="s">
        <v>16</v>
      </c>
      <c r="E45" s="7">
        <v>3000000</v>
      </c>
      <c r="F45" s="7"/>
      <c r="G45" s="20"/>
    </row>
    <row r="46" spans="2:9" x14ac:dyDescent="0.25">
      <c r="B46" s="5" t="s">
        <v>5</v>
      </c>
      <c r="C46" s="42" t="s">
        <v>17</v>
      </c>
      <c r="E46" s="7">
        <v>1450000</v>
      </c>
      <c r="F46" s="7"/>
      <c r="G46" s="20"/>
    </row>
    <row r="47" spans="2:9" x14ac:dyDescent="0.25">
      <c r="B47" s="5" t="s">
        <v>5</v>
      </c>
      <c r="C47" s="42" t="s">
        <v>43</v>
      </c>
      <c r="E47" s="7">
        <v>1275000</v>
      </c>
      <c r="F47" s="7"/>
      <c r="G47" s="20"/>
    </row>
    <row r="48" spans="2:9" x14ac:dyDescent="0.25">
      <c r="B48" s="5" t="s">
        <v>5</v>
      </c>
      <c r="C48" s="42" t="s">
        <v>27</v>
      </c>
      <c r="E48" s="7">
        <f>8141250+44265000+24570+36562500+6093750</f>
        <v>95087070</v>
      </c>
      <c r="F48" s="7"/>
      <c r="G48" s="20"/>
    </row>
    <row r="49" spans="2:7" x14ac:dyDescent="0.25">
      <c r="B49" s="5" t="s">
        <v>5</v>
      </c>
      <c r="C49" s="42" t="s">
        <v>49</v>
      </c>
      <c r="E49" s="7">
        <v>2478000</v>
      </c>
      <c r="F49" s="7"/>
      <c r="G49" s="20"/>
    </row>
    <row r="50" spans="2:7" x14ac:dyDescent="0.25">
      <c r="B50" s="5" t="s">
        <v>5</v>
      </c>
      <c r="C50" s="42" t="s">
        <v>18</v>
      </c>
      <c r="E50" s="7">
        <v>385000</v>
      </c>
      <c r="F50" s="7"/>
      <c r="G50" s="20"/>
    </row>
    <row r="51" spans="2:7" x14ac:dyDescent="0.25">
      <c r="B51" s="5" t="s">
        <v>5</v>
      </c>
      <c r="C51" s="42" t="s">
        <v>30</v>
      </c>
      <c r="E51" s="7">
        <v>275000</v>
      </c>
      <c r="F51" s="7"/>
      <c r="G51" s="20"/>
    </row>
    <row r="52" spans="2:7" x14ac:dyDescent="0.25">
      <c r="B52" s="5"/>
      <c r="C52" s="42" t="s">
        <v>47</v>
      </c>
      <c r="E52" s="7">
        <v>1850000</v>
      </c>
      <c r="F52" s="7"/>
      <c r="G52" s="20"/>
    </row>
    <row r="53" spans="2:7" x14ac:dyDescent="0.25">
      <c r="B53" s="5" t="s">
        <v>5</v>
      </c>
      <c r="C53" s="42" t="s">
        <v>57</v>
      </c>
      <c r="E53" s="7">
        <v>4530000</v>
      </c>
      <c r="F53" s="7"/>
      <c r="G53" s="20"/>
    </row>
    <row r="54" spans="2:7" x14ac:dyDescent="0.25">
      <c r="B54" s="5" t="s">
        <v>5</v>
      </c>
      <c r="C54" s="42" t="s">
        <v>19</v>
      </c>
      <c r="E54" s="57">
        <v>156430</v>
      </c>
      <c r="F54" s="7"/>
      <c r="G54" s="20"/>
    </row>
    <row r="55" spans="2:7" x14ac:dyDescent="0.25">
      <c r="B55" s="5" t="s">
        <v>5</v>
      </c>
      <c r="C55" s="42" t="s">
        <v>65</v>
      </c>
      <c r="E55" s="25">
        <f>2686613+15322500+8978100+12656625+2010938</f>
        <v>41654776</v>
      </c>
      <c r="F55" s="7"/>
      <c r="G55" s="20"/>
    </row>
    <row r="56" spans="2:7" ht="15.75" thickBot="1" x14ac:dyDescent="0.3">
      <c r="B56" s="5" t="s">
        <v>20</v>
      </c>
      <c r="C56" s="42"/>
      <c r="E56" s="7"/>
      <c r="F56" s="23">
        <f>SUM(E30:E55)</f>
        <v>677827375</v>
      </c>
      <c r="G56" s="9"/>
    </row>
    <row r="57" spans="2:7" ht="15.75" thickBot="1" x14ac:dyDescent="0.3">
      <c r="B57" s="11" t="s">
        <v>21</v>
      </c>
      <c r="C57" s="42"/>
      <c r="E57" s="7"/>
      <c r="F57" s="7"/>
      <c r="G57" s="23">
        <f>-SUM(F20:F56)</f>
        <v>-1311224126</v>
      </c>
    </row>
    <row r="58" spans="2:7" x14ac:dyDescent="0.25">
      <c r="B58" s="11" t="s">
        <v>22</v>
      </c>
      <c r="C58" s="42"/>
      <c r="D58" s="42"/>
      <c r="E58" s="7"/>
      <c r="F58" s="7"/>
      <c r="G58" s="12">
        <f>+G57</f>
        <v>-1311224126</v>
      </c>
    </row>
    <row r="59" spans="2:7" x14ac:dyDescent="0.25">
      <c r="C59" s="42"/>
      <c r="E59" s="7"/>
      <c r="F59" s="7"/>
      <c r="G59" s="9"/>
    </row>
    <row r="60" spans="2:7" x14ac:dyDescent="0.25">
      <c r="B60" t="s">
        <v>23</v>
      </c>
      <c r="E60" s="7"/>
      <c r="F60" s="7"/>
      <c r="G60" s="7"/>
    </row>
    <row r="61" spans="2:7" x14ac:dyDescent="0.25">
      <c r="B61" s="5" t="s">
        <v>5</v>
      </c>
      <c r="C61" t="s">
        <v>26</v>
      </c>
      <c r="E61" s="7"/>
      <c r="F61" s="7"/>
      <c r="G61" s="7"/>
    </row>
    <row r="62" spans="2:7" x14ac:dyDescent="0.25">
      <c r="B62" s="5" t="s">
        <v>5</v>
      </c>
      <c r="E62" s="7"/>
      <c r="F62" s="7"/>
      <c r="G62" s="7"/>
    </row>
    <row r="63" spans="2:7" ht="15.75" thickBot="1" x14ac:dyDescent="0.3">
      <c r="B63" t="s">
        <v>25</v>
      </c>
      <c r="E63" s="7"/>
      <c r="F63" s="7"/>
      <c r="G63" s="32">
        <f>SUM(F60:F62)</f>
        <v>0</v>
      </c>
    </row>
    <row r="64" spans="2:7" x14ac:dyDescent="0.25">
      <c r="B64" s="11" t="s">
        <v>24</v>
      </c>
      <c r="E64" s="7"/>
      <c r="F64" s="7"/>
      <c r="G64" s="31">
        <f>SUM(G11+G57)</f>
        <v>563775874</v>
      </c>
    </row>
    <row r="65" spans="5:9" x14ac:dyDescent="0.25">
      <c r="E65" s="7"/>
      <c r="F65" s="7"/>
      <c r="G65" s="9"/>
    </row>
    <row r="66" spans="5:9" x14ac:dyDescent="0.25">
      <c r="E66" s="7"/>
      <c r="F66" s="7"/>
      <c r="G66" s="7"/>
    </row>
    <row r="67" spans="5:9" x14ac:dyDescent="0.25">
      <c r="E67" s="7"/>
      <c r="F67" s="7"/>
      <c r="G67" s="7"/>
      <c r="I67" t="s">
        <v>32</v>
      </c>
    </row>
    <row r="68" spans="5:9" x14ac:dyDescent="0.25">
      <c r="E68" s="7"/>
      <c r="F68" s="7"/>
      <c r="G68" s="7"/>
    </row>
    <row r="69" spans="5:9" x14ac:dyDescent="0.25">
      <c r="E69" s="7"/>
      <c r="F69" s="7"/>
      <c r="G69" s="7"/>
    </row>
    <row r="70" spans="5:9" x14ac:dyDescent="0.25">
      <c r="E70" s="7"/>
      <c r="F70" s="7"/>
      <c r="G70" s="7"/>
    </row>
    <row r="71" spans="5:9" x14ac:dyDescent="0.25">
      <c r="E71" s="7"/>
      <c r="F71" s="7"/>
      <c r="G71" s="7"/>
    </row>
    <row r="72" spans="5:9" x14ac:dyDescent="0.25">
      <c r="E72" s="7"/>
      <c r="F72" s="7"/>
      <c r="G72" s="7"/>
    </row>
    <row r="73" spans="5:9" x14ac:dyDescent="0.25">
      <c r="E73" s="7"/>
      <c r="F73" s="7"/>
      <c r="G73" s="7"/>
    </row>
    <row r="74" spans="5:9" x14ac:dyDescent="0.25">
      <c r="E74" s="7"/>
      <c r="F74" s="7"/>
      <c r="G74" s="7"/>
    </row>
    <row r="75" spans="5:9" x14ac:dyDescent="0.25">
      <c r="E75" s="7"/>
      <c r="F75" s="7"/>
      <c r="G75" s="7"/>
    </row>
    <row r="76" spans="5:9" x14ac:dyDescent="0.25">
      <c r="E76" s="7"/>
      <c r="F76" s="7"/>
      <c r="G76" s="7"/>
    </row>
    <row r="77" spans="5:9" x14ac:dyDescent="0.25">
      <c r="E77" s="7"/>
      <c r="F77" s="7"/>
      <c r="G77" s="7"/>
    </row>
  </sheetData>
  <mergeCells count="1">
    <mergeCell ref="C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Lap Rugi Laba</vt:lpstr>
      <vt:lpstr>Desember</vt:lpstr>
      <vt:lpstr>Januari 2017</vt:lpstr>
      <vt:lpstr>fEBRUARI</vt:lpstr>
      <vt:lpstr>Maret</vt:lpstr>
      <vt:lpstr>Sheet4</vt:lpstr>
      <vt:lpstr>Sheet5</vt:lpstr>
      <vt:lpstr>Desember!Print_Area</vt:lpstr>
      <vt:lpstr>'Lap Rugi Laba'!Print_Area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2021-06-09T07:50:35Z</dcterms:modified>
</cp:coreProperties>
</file>